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ff23c28e34f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бзор" sheetId="1" r:id="R387c70eaf26846f8"/>
    <x:sheet xmlns:r="http://schemas.openxmlformats.org/officeDocument/2006/relationships" name="Допущения" sheetId="2" r:id="R962840ca1ca344a5"/>
    <x:sheet xmlns:r="http://schemas.openxmlformats.org/officeDocument/2006/relationships" name="Оборудование" sheetId="3" r:id="Rbf43bcd63ccc4acd"/>
    <x:sheet xmlns:r="http://schemas.openxmlformats.org/officeDocument/2006/relationships" name="Персонал" sheetId="4" r:id="R5ae513307d894258"/>
    <x:sheet xmlns:r="http://schemas.openxmlformats.org/officeDocument/2006/relationships" name="Электрика" sheetId="5" r:id="Rf73ec10a953643bb"/>
    <x:sheet xmlns:r="http://schemas.openxmlformats.org/officeDocument/2006/relationships" name="Инвестиции" sheetId="6" r:id="Rd381b5351d0546d5"/>
    <x:sheet xmlns:r="http://schemas.openxmlformats.org/officeDocument/2006/relationships" name="Зоны" sheetId="7" r:id="R924da5080da14515"/>
    <x:sheet xmlns:r="http://schemas.openxmlformats.org/officeDocument/2006/relationships" name="Поток 48 мес" sheetId="8" r:id="R7fde9700119d463a"/>
    <x:sheet xmlns:r="http://schemas.openxmlformats.org/officeDocument/2006/relationships" name="События" sheetId="9" r:id="R4cc1fda6b66f4d7a"/>
    <x:sheet xmlns:r="http://schemas.openxmlformats.org/officeDocument/2006/relationships" name="Аркады" sheetId="10" r:id="R4fd421408a284d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;[Red](#,##0);&quot;—&quot;"/>
    <x:numFmt numFmtId="201" formatCode="0.0%"/>
    <x:numFmt numFmtId="202" formatCode="0.00"/>
    <x:numFmt numFmtId="203" formatCode="0.000"/>
    <x:numFmt numFmtId="204" formatCode="0.0"/>
    <x:numFmt numFmtId="205" formatCode="0%"/>
  </x:numFmts>
  <x:fonts count="7">
    <x:font>
      <x:sz val="11"/>
      <x:name val="Carlito"/>
    </x:font>
    <x:font>
      <x:sz val="11"/>
      <x:color rgb="FF172333"/>
      <x:name val="Arial"/>
    </x:font>
    <x:font>
      <x:b/>
      <x:sz val="19"/>
      <x:color rgb="FFFFFFFF"/>
      <x:name val="Arial"/>
    </x:font>
    <x:font>
      <x:sz val="11"/>
      <x:color rgb="FF008052"/>
      <x:name val="Arial"/>
    </x:font>
    <x:font>
      <x:b/>
      <x:sz val="11"/>
      <x:color rgb="FF172333"/>
      <x:name val="Arial"/>
    </x:font>
    <x:font>
      <x:sz val="11"/>
      <x:color rgb="FF1F58C7"/>
      <x:name val="Arial"/>
    </x:font>
    <x:font>
      <x:b/>
      <x:sz val="11"/>
      <x:color rgb="FF1F58C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86B5D"/>
      </x:patternFill>
    </x:fill>
    <x:fill>
      <x:patternFill patternType="solid">
        <x:fgColor rgb="FFE8EE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1" fillId="0" borderId="0" xfId="0" applyNumberFormat="1" applyFont="1" applyFill="1" applyBorder="1"/>
    <x:xf numFmtId="200" fontId="4" fillId="3" borderId="0" xfId="0" applyNumberFormat="1" applyFont="1" applyFill="1" applyBorder="1"/>
    <x:xf numFmtId="200" fontId="3" fillId="0" borderId="0" xfId="0" applyNumberFormat="1" applyFont="1" applyFill="1" applyBorder="1"/>
    <x:xf numFmtId="200" fontId="5" fillId="0" borderId="0" xfId="0" applyNumberFormat="1" applyFont="1" applyFill="1" applyBorder="1"/>
    <x:xf numFmtId="200" fontId="6" fillId="3" borderId="0" xfId="0" applyNumberFormat="1" applyFont="1" applyFill="1" applyBorder="1"/>
    <x:xf numFmtId="0" fontId="5" fillId="0" borderId="0" xfId="0" applyNumberFormat="1" applyFont="1" applyFill="1" applyBorder="1"/>
    <x:xf numFmtId="0" fontId="6" fillId="3" borderId="0" xfId="0" applyNumberFormat="1" applyFont="1" applyFill="1" applyBorder="1"/>
    <x:xf numFmtId="201" fontId="5" fillId="0" borderId="0" xfId="0" applyNumberFormat="1" applyFont="1" applyFill="1" applyBorder="1"/>
    <x:xf numFmtId="202" fontId="5" fillId="0" borderId="0" xfId="0" applyNumberFormat="1" applyFont="1" applyFill="1" applyBorder="1"/>
    <x:xf numFmtId="202" fontId="1" fillId="0" borderId="0" xfId="0" applyNumberFormat="1" applyFont="1" applyFill="1" applyBorder="1"/>
    <x:xf numFmtId="202" fontId="3" fillId="0" borderId="0" xfId="0" applyNumberFormat="1" applyFont="1" applyFill="1" applyBorder="1"/>
    <x:xf numFmtId="203" fontId="1" fillId="0" borderId="0" xfId="0" applyNumberFormat="1" applyFont="1" applyFill="1" applyBorder="1"/>
    <x:xf numFmtId="203" fontId="5" fillId="0" borderId="0" xfId="0" applyNumberFormat="1" applyFont="1" applyFill="1" applyBorder="1"/>
    <x:xf numFmtId="201" fontId="1" fillId="0" borderId="0" xfId="0" applyNumberFormat="1" applyFont="1" applyFill="1" applyBorder="1"/>
    <x:xf numFmtId="204" fontId="1" fillId="0" borderId="0" xfId="0" applyNumberFormat="1" applyFont="1" applyFill="1" applyBorder="1"/>
    <x:xf numFmtId="204" fontId="3" fillId="0" borderId="0" xfId="0" applyNumberFormat="1" applyFont="1" applyFill="1" applyBorder="1"/>
    <x:xf numFmtId="201" fontId="3" fillId="0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205" fontId="1" fillId="0" borderId="0" xfId="0" applyNumberFormat="1" applyFont="1" applyFill="1" applyBorder="1"/>
    <x:xf numFmtId="205" fontId="3" fillId="0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69ede198304782" /><Relationship Type="http://schemas.openxmlformats.org/officeDocument/2006/relationships/theme" Target="/xl/theme/theme1.xml" Id="Rb7f5ff522ea240c3" /><Relationship Type="http://schemas.openxmlformats.org/officeDocument/2006/relationships/sharedStrings" Target="/xl/sharedStrings.xml" Id="Rc2f161e780094455" /><Relationship Type="http://schemas.openxmlformats.org/officeDocument/2006/relationships/worksheet" Target="/xl/worksheets/sheet1.xml" Id="R387c70eaf26846f8" /><Relationship Type="http://schemas.openxmlformats.org/officeDocument/2006/relationships/worksheet" Target="/xl/worksheets/sheet2.xml" Id="R962840ca1ca344a5" /><Relationship Type="http://schemas.openxmlformats.org/officeDocument/2006/relationships/worksheet" Target="/xl/worksheets/sheet3.xml" Id="Rbf43bcd63ccc4acd" /><Relationship Type="http://schemas.openxmlformats.org/officeDocument/2006/relationships/worksheet" Target="/xl/worksheets/sheet4.xml" Id="R5ae513307d894258" /><Relationship Type="http://schemas.openxmlformats.org/officeDocument/2006/relationships/worksheet" Target="/xl/worksheets/sheet5.xml" Id="Rf73ec10a953643bb" /><Relationship Type="http://schemas.openxmlformats.org/officeDocument/2006/relationships/worksheet" Target="/xl/worksheets/sheet6.xml" Id="Rd381b5351d0546d5" /><Relationship Type="http://schemas.openxmlformats.org/officeDocument/2006/relationships/worksheet" Target="/xl/worksheets/sheet7.xml" Id="R924da5080da14515" /><Relationship Type="http://schemas.openxmlformats.org/officeDocument/2006/relationships/worksheet" Target="/xl/worksheets/sheet8.xml" Id="R7fde9700119d463a" /><Relationship Type="http://schemas.openxmlformats.org/officeDocument/2006/relationships/worksheet" Target="/xl/worksheets/sheet9.xml" Id="R4cc1fda6b66f4d7a" /><Relationship Type="http://schemas.openxmlformats.org/officeDocument/2006/relationships/worksheet" Target="/xl/worksheets/sheet10.xml" Id="R4fd421408a284d1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66" hidden="0" customWidth="1"/>
    <x:col min="2" max="2" width="37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RR-FEC-100 | Обзор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Площадь, м²</x:v>
      </x:c>
      <x:c r="B6" s="25" t="n">
        <x:v>100</x:v>
      </x:c>
      <x:c r="C6" s="24"/>
      <x:c r="D6" s="24"/>
      <x:c r="E6" s="24"/>
      <x:c r="F6" s="24"/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str">
        <x:v>Концепция</x:v>
      </x:c>
      <x:c r="B7" s="7" t="str">
        <x:v>Первый клуб</x:v>
      </x:c>
      <x:c r="C7" s="7"/>
      <x:c r="D7" s="7"/>
      <x:c r="E7" s="7"/>
      <x:c r="F7" s="7"/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str">
        <x:v>Оборудование RR, ₽</x:v>
      </x:c>
      <x:c r="B8" s="9" t="n">
        <x:f>'Оборудование'!E17</x:f>
        <x:v>1186160</x:v>
      </x:c>
      <x:c r="C8" s="7"/>
      <x:c r="D8" s="7"/>
      <x:c r="E8" s="7"/>
      <x:c r="F8" s="7"/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str">
        <x:v>Полный стартовый бюджет, ₽</x:v>
      </x:c>
      <x:c r="B9" s="9" t="n">
        <x:f>'Инвестиции'!C21</x:f>
        <x:v>6865546.71</x:v>
      </x:c>
      <x:c r="C9" s="7"/>
      <x:c r="D9" s="7"/>
      <x:c r="E9" s="7"/>
      <x:c r="F9" s="7"/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str">
        <x:v>Платежи в стабильный месяц, ₽</x:v>
      </x:c>
      <x:c r="B10" s="9" t="n">
        <x:f>'Зоны'!E14</x:f>
        <x:v>1430946.7000000002</x:v>
      </x:c>
      <x:c r="C10" s="7"/>
      <x:c r="D10" s="7"/>
      <x:c r="E10" s="7"/>
      <x:c r="F10" s="7"/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str">
        <x:v>Поток после налогов / обновления, ₽</x:v>
      </x:c>
      <x:c r="B11" s="9" t="n">
        <x:f>'Зоны'!M14</x:f>
        <x:v>512415.6883809522</x:v>
      </x:c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str">
        <x:v>Простая окупаемость стабильного режима, мес</x:v>
      </x:c>
      <x:c r="B12" s="21" t="n">
        <x:f>IF(B11&gt;0,B9/B11,"нет")</x:f>
        <x:v>13.398392878431647</x:v>
      </x:c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str">
        <x:v>Окупаемость с разгоном, мес (горизонт 48)</x:v>
      </x:c>
      <x:c r="B13" s="9" t="n">
        <x:f>IF(MIN('Поток 48 мес'!T7:T54)=999,"За 48 мес. нет",MIN('Поток 48 мес'!T7:T54))</x:f>
        <x:v>18</x:v>
      </x:c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str">
        <x:v>Выручка первого года, платежи ₽</x:v>
      </x:c>
      <x:c r="B14" s="9" t="n">
        <x:f>SUM('Поток 48 мес'!J7:J18)</x:f>
        <x:v>14424670.33601695</x:v>
      </x:c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str">
        <x:v>Поток первого года, ₽</x:v>
      </x:c>
      <x:c r="B15" s="9" t="n">
        <x:f>SUM('Поток 48 мес'!R7:R18)</x:f>
        <x:v>4102915.421730023</x:v>
      </x:c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 t="str">
        <x:v>Накопленный поток за 48 месяцев, ₽</x:v>
      </x:c>
      <x:c r="B16" s="9" t="n">
        <x:f>'Поток 48 мес'!S54</x:f>
        <x:v>15973209.198697295</x:v>
      </x:c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 t="str">
        <x:v>Точка безубыточности, платежи/месяц ₽</x:v>
      </x:c>
      <x:c r="B17" s="9" t="n">
        <x:f>'Инвестиции'!C35/((SUM('Зоны'!I7:I13)-SUM('Зоны'!K7:L13))/B10)</x:f>
        <x:v>743069.3902645516</x:v>
      </x:c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Эквивалент посещений для безубыточности</x:v>
      </x:c>
      <x:c r="B18" s="9" t="n">
        <x:f>B17/(B10/'Допущения'!C31/'Допущения'!B8)</x:f>
        <x:v>693.0899069728431</x:v>
      </x:c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 t="str">
        <x:v>Запрос электрической мощности, кВт</x:v>
      </x:c>
      <x:c r="B19" s="22" t="n">
        <x:f>'Электрика'!E18</x:f>
        <x:v>12.28875</x:v>
      </x:c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 t="str">
        <x:v>Оплачиваемые FTE</x:v>
      </x:c>
      <x:c r="B20" s="22" t="n">
        <x:f>'Персонал'!C14</x:f>
        <x:v>6.220000000000001</x:v>
      </x:c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 t="str">
        <x:v>Вместимость детей — рабочая гипотеза</x:v>
      </x:c>
      <x:c r="B21" s="21" t="n">
        <x:v>10</x:v>
      </x:c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 t="str">
        <x:v>Среднее детей одновременно, выбранный спрос</x:v>
      </x:c>
      <x:c r="B22" s="22" t="n">
        <x:f>'Допущения'!C31*'Допущения'!B8*'Допущения'!B17/'Допущения'!B18/'Допущения'!B16</x:f>
        <x:v>6.066818181818181</x:v>
      </x:c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 t="str">
        <x:v>Проверка площадей, м²</x:v>
      </x:c>
      <x:c r="B23" s="7" t="n">
        <x:v>100</x:v>
      </x:c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Проверки модели</x:v>
      </x:c>
      <x:c r="B27" s="1" t="str">
        <x:v>Результат</x:v>
      </x:c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Доли выручки, сумма</x:v>
      </x:c>
      <x:c r="B28" s="23" t="n">
        <x:f>'Зоны'!N14</x:f>
        <x:v>0.9999999999999999</x:v>
      </x:c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 t="str">
        <x:v>Поток зон минус расчетный стабильный поток</x:v>
      </x:c>
      <x:c r="B29" s="4" t="n">
        <x:f>'Зоны'!M14-('Зоны'!I14-'Инвестиции'!C35-'Зоны'!K14-'Зоны'!L14)</x:f>
        <x:v>0</x:v>
      </x:c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 t="str">
        <x:v>Распределение инвестиций минус общий бюджет</x:v>
      </x:c>
      <x:c r="B30" s="4" t="n">
        <x:f>'Зоны'!O14-'Инвестиции'!C21</x:f>
        <x:v>-9.313225746154785e-10</x:v>
      </x:c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 t="str">
        <x:v>Площадь минус задание</x:v>
      </x:c>
      <x:c r="B31" s="1" t="n">
        <x:f>B23-B6</x:f>
        <x:v>0</x:v>
      </x:c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 t="str">
        <x:v>Вместимость: среднее / рабочий максимум</x:v>
      </x:c>
      <x:c r="B32" s="20" t="n">
        <x:f>B22/B21</x:f>
        <x:v>0.6066818181818181</x:v>
      </x:c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 t="str">
        <x:v>Статус и ограничения</x:v>
      </x:c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 t="str">
        <x:v>Концепция для выбора помещения и переговоров. Не рабочий проект и не обещание доходности.</x:v>
      </x:c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 t="str">
        <x:v>На 100 м² банкетная комната и сцена трансформируются; полноценная горячая кухня не помещается.</x:v>
      </x:c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 t="str">
        <x:v>Город 300 тыс. жителей — масштаб рынка, а не доказанный спрос. До аренды проверить конкурентов и платежеспособность.</x:v>
      </x:c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 t="str">
        <x:v>Источники: оборудование robotail.ru (ссылки на листе Оборудование), официальные документы в техническом PDF.</x:v>
      </x:c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55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RR-FEC-100 | Допущения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 t="str">
        <x:v>Выбор сценария</x:v>
      </x:c>
      <x:c r="B5" s="10" t="n">
        <x:v>4</x:v>
      </x:c>
      <x:c r="C5" s="1"/>
      <x:c r="D5" s="12" t="str">
        <x:v>Исходный</x:v>
      </x:c>
      <x:c r="E5" s="12" t="str">
        <x:v>Спрос −30%</x:v>
      </x:c>
      <x:c r="F5" s="12" t="str">
        <x:v>Спрос +25%</x:v>
      </x:c>
      <x:c r="G5" s="12" t="str">
        <x:v>Целевой 9–18 мес.</x:v>
      </x:c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Название</x:v>
      </x:c>
      <x:c r="B6" s="25" t="str">
        <x:f>CHOOSE(B5,D6,E6,F6,G6)</x:f>
        <x:v>Целевая окупаемость</x:v>
      </x:c>
      <x:c r="C6" s="24"/>
      <x:c r="D6" s="27" t="str">
        <x:v>Исходный</x:v>
      </x:c>
      <x:c r="E6" s="27" t="str">
        <x:v>Консервативный</x:v>
      </x:c>
      <x:c r="F6" s="27" t="str">
        <x:v>Рост</x:v>
      </x:c>
      <x:c r="G6" s="27" t="str">
        <x:v>Целевая окупаемость</x:v>
      </x:c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str">
        <x:v>Объемы, множитель</x:v>
      </x:c>
      <x:c r="B7" s="15"/>
      <x:c r="C7" s="7"/>
      <x:c r="D7" s="10" t="n">
        <x:v>1</x:v>
      </x:c>
      <x:c r="E7" s="10" t="n">
        <x:v>0.7</x:v>
      </x:c>
      <x:c r="F7" s="10" t="n">
        <x:v>1.25</x:v>
      </x:c>
      <x:c r="G7" s="10" t="n">
        <x:v>1.483</x:v>
      </x:c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str">
        <x:v>Активный множитель</x:v>
      </x:c>
      <x:c r="B8" s="16" t="n">
        <x:f>CHOOSE(B5,D7,E7,F7,G7)</x:f>
        <x:v>1.483</x:v>
      </x:c>
      <x:c r="C8" s="7"/>
      <x:c r="D8" s="10"/>
      <x:c r="E8" s="10"/>
      <x:c r="F8" s="10"/>
      <x:c r="G8" s="10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str">
        <x:v>НДС, расчетная ставка</x:v>
      </x:c>
      <x:c r="B9" s="20" t="n">
        <x:f>CHOOSE(B5,D9,E9,F9,G9)</x:f>
        <x:v>0.05</x:v>
      </x:c>
      <x:c r="C9" s="7"/>
      <x:c r="D9" s="10" t="n">
        <x:v>0.05</x:v>
      </x:c>
      <x:c r="E9" s="10" t="n">
        <x:v>0.05</x:v>
      </x:c>
      <x:c r="F9" s="10" t="n">
        <x:v>0.05</x:v>
      </x:c>
      <x:c r="G9" s="10" t="n">
        <x:v>0.05</x:v>
      </x:c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str">
        <x:v>УСН, резерв от выручки без НДС</x:v>
      </x:c>
      <x:c r="B10" s="14" t="n">
        <x:v>0.06</x:v>
      </x:c>
      <x:c r="C10" s="7"/>
      <x:c r="D10" s="7"/>
      <x:c r="E10" s="7"/>
      <x:c r="F10" s="7"/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str">
        <x:v>Эквайринг от платежей</x:v>
      </x:c>
      <x:c r="B11" s="14" t="n">
        <x:v>0.02</x:v>
      </x:c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str">
        <x:v>Резерв обновления от выручки без НДС</x:v>
      </x:c>
      <x:c r="B12" s="14" t="n">
        <x:v>0.02</x:v>
      </x:c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str">
        <x:v>Рост цен за год</x:v>
      </x:c>
      <x:c r="B13" s="14" t="n">
        <x:v>0.03</x:v>
      </x:c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str">
        <x:v>Инфляция затрат за год</x:v>
      </x:c>
      <x:c r="B14" s="14" t="n">
        <x:v>0.05</x:v>
      </x:c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str">
        <x:v>Взносы работодателя, бюджетный резерв</x:v>
      </x:c>
      <x:c r="B15" s="14" t="n">
        <x:v>0.302</x:v>
      </x:c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 t="str">
        <x:v>Открыто часов в день</x:v>
      </x:c>
      <x:c r="B16" s="10" t="n">
        <x:v>11</x:v>
      </x:c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 t="str">
        <x:v>Среднее пребывание ребенка, часов</x:v>
      </x:c>
      <x:c r="B17" s="16" t="n">
        <x:f>IF(B5=4,1.5,2.5)</x:f>
        <x:v>1.5</x:v>
      </x:c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Дней работы в месяц</x:v>
      </x:c>
      <x:c r="B18" s="15" t="n">
        <x:v>30</x:v>
      </x:c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 t="str">
        <x:v>Рабочих часов на полную ставку</x:v>
      </x:c>
      <x:c r="B19" s="15" t="n">
        <x:v>168</x:v>
      </x:c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 t="str">
        <x:v>Запас покрытия отпусков / отсутствий</x:v>
      </x:c>
      <x:c r="B20" s="15" t="n">
        <x:v>0.15</x:v>
      </x:c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 t="str">
        <x:v>Открытие и закрытие смены, часов/день</x:v>
      </x:c>
      <x:c r="B21" s="15" t="n">
        <x:v>0.5</x:v>
      </x:c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 t="str">
        <x:v>Покрытие одного поста, FTE</x:v>
      </x:c>
      <x:c r="B22" s="16" t="n">
        <x:f>(B16+B21)*B18/B19*(1+B20)</x:f>
        <x:v>2.3616071428571423</x:v>
      </x:c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 t="str">
        <x:v>Расчетная одновременная вместимость, детей</x:v>
      </x:c>
      <x:c r="B23" s="10" t="n">
        <x:v>10</x:v>
      </x:c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 t="str">
        <x:v>Тариф электричества, ₽/кВт·ч</x:v>
      </x:c>
      <x:c r="B24" s="10" t="n">
        <x:v>9</x:v>
      </x:c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Как читать модель</x:v>
      </x:c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Синие числа — ввод; зеленые формулы — связи листов; черные — расчет.</x:v>
      </x:c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 t="str">
        <x:v>Продажи праздников не включают входные билеты и еду: они учтены отдельно.</x:v>
      </x:c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 t="str">
        <x:v>№</x:v>
      </x:c>
      <x:c r="B30" s="1" t="str">
        <x:v>Зона</x:v>
      </x:c>
      <x:c r="C30" s="7" t="str">
        <x:v>Объем / месяц</x:v>
      </x:c>
      <x:c r="D30" s="7" t="str">
        <x:v>Цена, ₽</x:v>
      </x:c>
      <x:c r="E30" s="7" t="str">
        <x:v>Прямые, доля</x:v>
      </x:c>
      <x:c r="F30" s="7" t="str">
        <x:v>Себест./ед., ₽</x:v>
      </x:c>
      <x:c r="G30" s="7" t="str">
        <x:v>Вес общих затрат</x:v>
      </x:c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 t="n">
        <x:v>1</x:v>
      </x:c>
      <x:c r="B31" s="1" t="str">
        <x:v>Входные билеты и свободная игра</x:v>
      </x:c>
      <x:c r="C31" s="10" t="n">
        <x:v>900</x:v>
      </x:c>
      <x:c r="D31" s="10" t="n">
        <x:v>650</x:v>
      </x:c>
      <x:c r="E31" s="14" t="n">
        <x:v>0.02</x:v>
      </x:c>
      <x:c r="F31" s="10" t="n">
        <x:v>0</x:v>
      </x:c>
      <x:c r="G31" s="14" t="n">
        <x:v>0.3645833333333333</x:v>
      </x:c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 t="n">
        <x:v>2</x:v>
      </x:c>
      <x:c r="B32" s="1" t="str">
        <x:v>Технологические аттракционы</x:v>
      </x:c>
      <x:c r="C32" s="10" t="n">
        <x:v>180</x:v>
      </x:c>
      <x:c r="D32" s="10" t="n">
        <x:v>140</x:v>
      </x:c>
      <x:c r="E32" s="14" t="n">
        <x:v>0.05</x:v>
      </x:c>
      <x:c r="F32" s="10" t="n">
        <x:v>0</x:v>
      </x:c>
      <x:c r="G32" s="14" t="n">
        <x:v>0.15625</x:v>
      </x:c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 t="n">
        <x:v>3</x:v>
      </x:c>
      <x:c r="B33" s="1" t="str">
        <x:v>Аркады и семейные игры</x:v>
      </x:c>
      <x:c r="C33" s="7" t="n">
        <x:f>C31*$B$67*$B$68</x:f>
        <x:v>1349.9999999999998</x:v>
      </x:c>
      <x:c r="D33" s="7" t="n">
        <x:f>$B$69</x:f>
        <x:v>70</x:v>
      </x:c>
      <x:c r="E33" s="14" t="n">
        <x:v>0.2</x:v>
      </x:c>
      <x:c r="F33" s="10" t="n">
        <x:v>0</x:v>
      </x:c>
      <x:c r="G33" s="14" t="n">
        <x:v>0.125</x:v>
      </x:c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 t="n">
        <x:v>4</x:v>
      </x:c>
      <x:c r="B34" s="1" t="str">
        <x:v>Банкетные комнаты и ведущий</x:v>
      </x:c>
      <x:c r="C34" s="10" t="n">
        <x:v>10</x:v>
      </x:c>
      <x:c r="D34" s="10" t="n">
        <x:v>9500</x:v>
      </x:c>
      <x:c r="E34" s="14" t="n">
        <x:v>0.25</x:v>
      </x:c>
      <x:c r="F34" s="10" t="n">
        <x:v>0</x:v>
      </x:c>
      <x:c r="G34" s="14" t="n">
        <x:v>0.125</x:v>
      </x:c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 t="n">
        <x:v>5</x:v>
      </x:c>
      <x:c r="B35" s="1" t="str">
        <x:v>Кафе и ожидание родителей</x:v>
      </x:c>
      <x:c r="C35" s="10" t="n">
        <x:v>360</x:v>
      </x:c>
      <x:c r="D35" s="10" t="n">
        <x:v>420</x:v>
      </x:c>
      <x:c r="E35" s="14" t="n">
        <x:v>0.35</x:v>
      </x:c>
      <x:c r="F35" s="10" t="n">
        <x:v>0</x:v>
      </x:c>
      <x:c r="G35" s="14" t="n">
        <x:v>0.14583333333333334</x:v>
      </x:c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 t="n">
        <x:v>6</x:v>
      </x:c>
      <x:c r="B36" s="1" t="str">
        <x:v>Платные мастер-классы</x:v>
      </x:c>
      <x:c r="C36" s="10" t="n">
        <x:v>40</x:v>
      </x:c>
      <x:c r="D36" s="10" t="n">
        <x:v>350</x:v>
      </x:c>
      <x:c r="E36" s="14" t="n">
        <x:v>0.3</x:v>
      </x:c>
      <x:c r="F36" s="10" t="n">
        <x:v>0</x:v>
      </x:c>
      <x:c r="G36" s="14" t="n">
        <x:v>0.08333333333333334</x:v>
      </x:c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 t="n">
        <x:v>7</x:v>
      </x:c>
      <x:c r="B37" s="1" t="str">
        <x:v>Нейрофото</x:v>
      </x:c>
      <x:c r="C37" s="10" t="n">
        <x:v>0</x:v>
      </x:c>
      <x:c r="D37" s="10" t="n">
        <x:v>200</x:v>
      </x:c>
      <x:c r="E37" s="14" t="n">
        <x:v>0</x:v>
      </x:c>
      <x:c r="F37" s="10" t="n">
        <x:v>50</x:v>
      </x:c>
      <x:c r="G37" s="14" t="n">
        <x:v>0</x:v>
      </x:c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 t="str">
        <x:v>Месяц</x:v>
      </x:c>
      <x:c r="B41" s="1" t="str">
        <x:v>Сезонность, индекс</x:v>
      </x:c>
      <x:c r="C41" s="7" t="str">
        <x:v>Нормированный индекс</x:v>
      </x:c>
      <x:c r="D41" s="7" t="str">
        <x:v>Разгон посещаемости</x:v>
      </x:c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 t="n">
        <x:v>1</x:v>
      </x:c>
      <x:c r="B42" s="1" t="n">
        <x:v>1.1</x:v>
      </x:c>
      <x:c r="C42" s="16" t="n">
        <x:f>B42/AVERAGE($B$42:$B$53)</x:f>
        <x:v>1.1186440677966103</x:v>
      </x:c>
      <x:c r="D42" s="16" t="n">
        <x:v>0.45</x:v>
      </x:c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 t="n">
        <x:v>2</x:v>
      </x:c>
      <x:c r="B43" s="1" t="n">
        <x:v>1.05</x:v>
      </x:c>
      <x:c r="C43" s="16" t="n">
        <x:f>B43/AVERAGE($B$42:$B$53)</x:f>
        <x:v>1.0677966101694916</x:v>
      </x:c>
      <x:c r="D43" s="16" t="n">
        <x:v>0.55</x:v>
      </x:c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 t="n">
        <x:v>3</x:v>
      </x:c>
      <x:c r="B44" s="1" t="n">
        <x:v>1</x:v>
      </x:c>
      <x:c r="C44" s="16" t="n">
        <x:f>B44/AVERAGE($B$42:$B$53)</x:f>
        <x:v>1.0169491525423728</x:v>
      </x:c>
      <x:c r="D44" s="16" t="n">
        <x:v>0.65</x:v>
      </x:c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 t="n">
        <x:v>4</x:v>
      </x:c>
      <x:c r="B45" s="1" t="n">
        <x:v>0.9</x:v>
      </x:c>
      <x:c r="C45" s="16" t="n">
        <x:f>B45/AVERAGE($B$42:$B$53)</x:f>
        <x:v>0.9152542372881356</x:v>
      </x:c>
      <x:c r="D45" s="16" t="n">
        <x:v>0.75</x:v>
      </x:c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 t="n">
        <x:v>5</x:v>
      </x:c>
      <x:c r="B46" s="1" t="n">
        <x:v>0.85</x:v>
      </x:c>
      <x:c r="C46" s="16" t="n">
        <x:f>B46/AVERAGE($B$42:$B$53)</x:f>
        <x:v>0.8644067796610169</x:v>
      </x:c>
      <x:c r="D46" s="16" t="n">
        <x:v>0.85</x:v>
      </x:c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 t="n">
        <x:v>6</x:v>
      </x:c>
      <x:c r="B47" s="1" t="n">
        <x:v>0.7</x:v>
      </x:c>
      <x:c r="C47" s="16" t="n">
        <x:f>B47/AVERAGE($B$42:$B$53)</x:f>
        <x:v>0.7118644067796609</x:v>
      </x:c>
      <x:c r="D47" s="16" t="n">
        <x:v>0.9</x:v>
      </x:c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 t="n">
        <x:v>7</x:v>
      </x:c>
      <x:c r="B48" s="1" t="n">
        <x:v>0.75</x:v>
      </x:c>
      <x:c r="C48" s="16" t="n">
        <x:f>B48/AVERAGE($B$42:$B$53)</x:f>
        <x:v>0.7627118644067796</x:v>
      </x:c>
      <x:c r="D48" s="16" t="n">
        <x:v>0.95</x:v>
      </x:c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 t="n">
        <x:v>8</x:v>
      </x:c>
      <x:c r="B49" s="1" t="n">
        <x:v>0.8</x:v>
      </x:c>
      <x:c r="C49" s="16" t="n">
        <x:f>B49/AVERAGE($B$42:$B$53)</x:f>
        <x:v>0.8135593220338982</x:v>
      </x:c>
      <x:c r="D49" s="16" t="n">
        <x:v>1</x:v>
      </x:c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 t="n">
        <x:v>9</x:v>
      </x:c>
      <x:c r="B50" s="1" t="n">
        <x:v>1.05</x:v>
      </x:c>
      <x:c r="C50" s="16" t="n">
        <x:f>B50/AVERAGE($B$42:$B$53)</x:f>
        <x:v>1.0677966101694916</x:v>
      </x:c>
      <x:c r="D50" s="16" t="n">
        <x:v>1</x:v>
      </x:c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 t="n">
        <x:v>10</x:v>
      </x:c>
      <x:c r="B51" s="1" t="n">
        <x:v>1.15</x:v>
      </x:c>
      <x:c r="C51" s="16" t="n">
        <x:f>B51/AVERAGE($B$42:$B$53)</x:f>
        <x:v>1.1694915254237286</x:v>
      </x:c>
      <x:c r="D51" s="16" t="n">
        <x:v>1</x:v>
      </x:c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 t="n">
        <x:v>11</x:v>
      </x:c>
      <x:c r="B52" s="1" t="n">
        <x:v>1.2</x:v>
      </x:c>
      <x:c r="C52" s="16" t="n">
        <x:f>B52/AVERAGE($B$42:$B$53)</x:f>
        <x:v>1.2203389830508473</x:v>
      </x:c>
      <x:c r="D52" s="16" t="n">
        <x:v>1</x:v>
      </x:c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 t="n">
        <x:v>12</x:v>
      </x:c>
      <x:c r="B53" s="1" t="n">
        <x:v>1.25</x:v>
      </x:c>
      <x:c r="C53" s="16" t="n">
        <x:f>B53/AVERAGE($B$42:$B$53)</x:f>
        <x:v>1.271186440677966</x:v>
      </x:c>
      <x:c r="D53" s="16" t="n">
        <x:v>1</x:v>
      </x:c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 t="str">
        <x:v>Ограничения</x:v>
      </x:c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 t="str">
        <x:v>М1 условно январь. Для другой даты открытия перенесите сезонность, сохранив средний индекс 1.</x:v>
      </x:c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 t="str">
        <x:v>Налоги — консервативный резерв для сравнения; налоговый режим проверяется для юридического лица и года запуска.</x:v>
      </x:c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 t="str">
        <x:v>Зарплаты — бюджетные ориентиры для города 300 тыс. жителей, не исследование рынка вакансий.</x:v>
      </x:c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 t="str">
        <x:v>Все продажи, аренда, ставки и сроки нуждаются в локальной проверке до инвестирования.</x:v>
      </x:c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 t="str">
        <x:v>Сценарий 4 решает обратную задачу окупаемости; требуемый спрос не подтвержден рынком.</x:v>
      </x:c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 t="str">
        <x:v>100 м²: целевой сценарий требует сеансов в среднем 90 минут и бронирования по времени.</x:v>
      </x:c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 t="str">
        <x:v>Оплаченная игра на человека, минут</x:v>
      </x:c>
      <x:c r="B65" s="12" t="n">
        <x:v>3</x:v>
      </x:c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 t="str">
        <x:v>Смена игроков, минут</x:v>
      </x:c>
      <x:c r="B66" s="12" t="n">
        <x:v>1</x:v>
      </x:c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 t="str">
        <x:v>Доля семей, оплачивающих аркады</x:v>
      </x:c>
      <x:c r="B67" s="14" t="n">
        <x:v>0.45</x:v>
      </x:c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 t="str">
        <x:v>Игрок-сеансов на платившую семью</x:v>
      </x:c>
      <x:c r="B68" s="15" t="n">
        <x:v>3.333333333333333</x:v>
      </x:c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 t="str">
        <x:v>Цена одного игрока за 3 минуты, ₽</x:v>
      </x:c>
      <x:c r="B69" s="12" t="n">
        <x:v>70</x:v>
      </x:c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 t="str">
        <x:v>Рабочая доступность, доля</x:v>
      </x:c>
      <x:c r="B70" s="14" t="n">
        <x:v>0.95</x:v>
      </x:c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 t="str">
        <x:v>Источник ставки</x:v>
      </x:c>
      <x:c r="B71" s="1" t="str">
        <x:v>Указание владельца 24.10.2026</x:v>
      </x:c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dataValidations count="1">
    <x:dataValidation type="list" sqref="B5">
      <x:formula1>"1,2,3,4"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48" hidden="0" customWidth="1"/>
    <x:col min="9" max="9" width="48" hidden="0" customWidth="1"/>
    <x:col min="10" max="10" width="4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RR-FEC-100 | Оборудование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Код</x:v>
      </x:c>
      <x:c r="B6" s="25" t="str">
        <x:v>Оборудование RR</x:v>
      </x:c>
      <x:c r="C6" s="24" t="str">
        <x:v>Кол-во</x:v>
      </x:c>
      <x:c r="D6" s="24" t="str">
        <x:v>Цена, ₽</x:v>
      </x:c>
      <x:c r="E6" s="24" t="str">
        <x:v>Сумма, ₽</x:v>
      </x:c>
      <x:c r="F6" s="24" t="str">
        <x:v>кВт/ед.</x:v>
      </x:c>
      <x:c r="G6" s="24" t="str">
        <x:v>Всего кВт</x:v>
      </x:c>
      <x:c r="H6" s="24" t="str">
        <x:v>Статус мощности</x:v>
      </x:c>
      <x:c r="I6" s="24" t="str">
        <x:v>Карточка товара</x:v>
      </x:c>
      <x:c r="J6" s="24" t="str">
        <x:v>Примечание</x:v>
      </x:c>
      <x:c r="K6" s="24" t="str">
        <x:v>Код зоны</x:v>
      </x:c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38" customHeight="1">
      <x:c r="A7" s="1" t="str">
        <x:v>M1</x:v>
      </x:c>
      <x:c r="B7" s="28" t="str">
        <x:v>Лабиринт «Малыш-1»</x:v>
      </x:c>
      <x:c r="C7" s="10" t="n">
        <x:v>1</x:v>
      </x:c>
      <x:c r="D7" s="10" t="n">
        <x:v>319880</x:v>
      </x:c>
      <x:c r="E7" s="7" t="n">
        <x:f>C7*D7</x:f>
        <x:v>319880</x:v>
      </x:c>
      <x:c r="F7" s="19" t="n">
        <x:v>0</x:v>
      </x:c>
      <x:c r="G7" s="18" t="n">
        <x:f>C7*F7</x:f>
        <x:v>0</x:v>
      </x:c>
      <x:c r="H7" s="28" t="str">
        <x:v>Пассивный</x:v>
      </x:c>
      <x:c r="I7" s="28" t="str">
        <x:v>https://robotail.ru/product/detskiy-igrovoy-labirint-malysh-1-56m-23523525m</x:v>
      </x:c>
      <x:c r="J7" s="28" t="str"/>
      <x:c r="K7" s="7" t="n">
        <x:v>0</x:v>
      </x:c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38" customHeight="1">
      <x:c r="A8" s="1" t="str">
        <x:v>W1</x:v>
      </x:c>
      <x:c r="B8" s="28" t="str">
        <x:v>Проектор настенный NEW</x:v>
      </x:c>
      <x:c r="C8" s="10" t="n">
        <x:v>1</x:v>
      </x:c>
      <x:c r="D8" s="10" t="n">
        <x:v>189000</x:v>
      </x:c>
      <x:c r="E8" s="7" t="n">
        <x:f>C8*D8</x:f>
        <x:v>189000</x:v>
      </x:c>
      <x:c r="F8" s="19" t="n">
        <x:v>0.8</x:v>
      </x:c>
      <x:c r="G8" s="18" t="n">
        <x:f>C8*F8</x:f>
        <x:v>0.8</x:v>
      </x:c>
      <x:c r="H8" s="28" t="str">
        <x:v>Расчетный резерв</x:v>
      </x:c>
      <x:c r="I8" s="28" t="str">
        <x:v>https://robotail.ru/product/interaktivnyy-proektor-nastennyy-new-maksimalnaya-komplektatsiya</x:v>
      </x:c>
      <x:c r="J8" s="28" t="str">
        <x:v>Габарит на плане — игровая зона, не корпус. Монтаж по оптике проектора.</x:v>
      </x:c>
      <x:c r="K8" s="7" t="n">
        <x:v>1</x:v>
      </x:c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38" customHeight="1">
      <x:c r="A9" s="1" t="str">
        <x:v>C1</x:v>
      </x:c>
      <x:c r="B9" s="28" t="str">
        <x:v>Шахматный робот Chess</x:v>
      </x:c>
      <x:c r="C9" s="10" t="n">
        <x:v>1</x:v>
      </x:c>
      <x:c r="D9" s="10" t="n">
        <x:v>149000</x:v>
      </x:c>
      <x:c r="E9" s="7" t="n">
        <x:f>C9*D9</x:f>
        <x:v>149000</x:v>
      </x:c>
      <x:c r="F9" s="19" t="n">
        <x:v>0.05</x:v>
      </x:c>
      <x:c r="G9" s="18" t="n">
        <x:f>C9*F9</x:f>
        <x:v>0.05</x:v>
      </x:c>
      <x:c r="H9" s="28" t="str">
        <x:v>Расчетный резерв</x:v>
      </x:c>
      <x:c r="I9" s="28" t="str">
        <x:v>https://robotail.ru/product/shahmatnyy-robot-chess</x:v>
      </x:c>
      <x:c r="J9" s="28" t="str">
        <x:v>На столе в кафе, отдельная выручка не начисляется.</x:v>
      </x:c>
      <x:c r="K9" s="7" t="n">
        <x:v>4</x:v>
      </x:c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38" customHeight="1">
      <x:c r="A10" s="1" t="str">
        <x:v>B1</x:v>
      </x:c>
      <x:c r="B10" s="28" t="str">
        <x:v>Сухой бассейн «Лягушонок» 1,2 м</x:v>
      </x:c>
      <x:c r="C10" s="10" t="n">
        <x:v>1</x:v>
      </x:c>
      <x:c r="D10" s="10" t="n">
        <x:v>20580</x:v>
      </x:c>
      <x:c r="E10" s="7" t="n">
        <x:f>C10*D10</x:f>
        <x:v>20580</x:v>
      </x:c>
      <x:c r="F10" s="19" t="n">
        <x:v>0</x:v>
      </x:c>
      <x:c r="G10" s="18" t="n">
        <x:f>C10*F10</x:f>
        <x:v>0</x:v>
      </x:c>
      <x:c r="H10" s="28" t="str">
        <x:v>Пассивный</x:v>
      </x:c>
      <x:c r="I10" s="28" t="str">
        <x:v>https://robotail.ru/product/basseyn-kvadratnyy-lyagushonok-razbornyy-120h120h40-sm</x:v>
      </x:c>
      <x:c r="J10" s="28" t="str">
        <x:v>Выбран первый вариант 120×120×40 см.</x:v>
      </x:c>
      <x:c r="K10" s="7" t="n">
        <x:v>0</x:v>
      </x:c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38" customHeight="1">
      <x:c r="A11" s="1" t="str">
        <x:v>S1</x:v>
      </x:c>
      <x:c r="B11" s="28" t="str">
        <x:v>Мягкий конструктор «Форт», 17 элементов</x:v>
      </x:c>
      <x:c r="C11" s="10" t="n">
        <x:v>1</x:v>
      </x:c>
      <x:c r="D11" s="10" t="n">
        <x:v>17900</x:v>
      </x:c>
      <x:c r="E11" s="7" t="n">
        <x:f>C11*D11</x:f>
        <x:v>17900</x:v>
      </x:c>
      <x:c r="F11" s="19" t="n">
        <x:v>0</x:v>
      </x:c>
      <x:c r="G11" s="18" t="n">
        <x:f>C11*F11</x:f>
        <x:v>0</x:v>
      </x:c>
      <x:c r="H11" s="28" t="str">
        <x:v>Пассивный</x:v>
      </x:c>
      <x:c r="I11" s="28" t="str">
        <x:v>https://robotail.ru/product/detskie-moduli-konstruktor-fort-17-el</x:v>
      </x:c>
      <x:c r="J11" s="28" t="str">
        <x:v>2×2 м — зона игры, не габарит упаковки; наборы хранятся в стеллаже и выдаются поочередно.</x:v>
      </x:c>
      <x:c r="K11" s="7" t="n">
        <x:v>0</x:v>
      </x:c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38" customHeight="1">
      <x:c r="A12" s="1" t="str">
        <x:v>B3</x:v>
      </x:c>
      <x:c r="B12" s="28" t="str">
        <x:v>Шарики для бассейна 70 мм, дополнительный запас</x:v>
      </x:c>
      <x:c r="C12" s="10" t="n">
        <x:v>1000</x:v>
      </x:c>
      <x:c r="D12" s="10" t="n">
        <x:v>6</x:v>
      </x:c>
      <x:c r="E12" s="7" t="n">
        <x:f>C12*D12</x:f>
        <x:v>6000</x:v>
      </x:c>
      <x:c r="F12" s="19" t="n">
        <x:v>0</x:v>
      </x:c>
      <x:c r="G12" s="18" t="n">
        <x:f>C12*F12</x:f>
        <x:v>0</x:v>
      </x:c>
      <x:c r="H12" s="28" t="str">
        <x:v>Пассивный</x:v>
      </x:c>
      <x:c r="I12" s="28" t="str">
        <x:v>https://robotail.ru/product/shariki-dlya-suhogo-basseyna-70-mm-2</x:v>
      </x:c>
      <x:c r="J12" s="28" t="str">
        <x:v>Количество предварительное. Исключить дубли с шарами из комплектации лабиринта по итоговой ведомости.</x:v>
      </x:c>
      <x:c r="K12" s="7" t="n">
        <x:v>0</x:v>
      </x:c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38" customHeight="1">
      <x:c r="A13" s="1" t="str">
        <x:v>A6</x:v>
      </x:c>
      <x:c r="B13" s="28" t="str">
        <x:v>Сапер с подсветкой</x:v>
      </x:c>
      <x:c r="C13" s="10" t="n">
        <x:v>1</x:v>
      </x:c>
      <x:c r="D13" s="10" t="n">
        <x:v>53800</x:v>
      </x:c>
      <x:c r="E13" s="7" t="n">
        <x:f>C13*D13</x:f>
        <x:v>53800</x:v>
      </x:c>
      <x:c r="F13" s="19" t="n">
        <x:v>0.01</x:v>
      </x:c>
      <x:c r="G13" s="18" t="n">
        <x:f>C13*F13</x:f>
        <x:v>0.01</x:v>
      </x:c>
      <x:c r="H13" s="28" t="str">
        <x:v>10 Вт по сайту</x:v>
      </x:c>
      <x:c r="I13" s="28" t="str">
        <x:v>https://robotail.ru/product/attraktsion-zummer-s-podsvetkoy</x:v>
      </x:c>
      <x:c r="J13" s="28" t="str"/>
      <x:c r="K13" s="7" t="n">
        <x:v>2</x:v>
      </x:c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38" customHeight="1">
      <x:c r="A14" s="1" t="str">
        <x:v>N1</x:v>
      </x:c>
      <x:c r="B14" s="28" t="str">
        <x:v>Детский игровой автомат колотушка «Миссис Хэппи»</x:v>
      </x:c>
      <x:c r="C14" s="10" t="n">
        <x:v>1</x:v>
      </x:c>
      <x:c r="D14" s="10" t="n">
        <x:v>85000</x:v>
      </x:c>
      <x:c r="E14" s="7" t="n">
        <x:f>C14*D14</x:f>
        <x:v>85000</x:v>
      </x:c>
      <x:c r="F14" s="19" t="n">
        <x:v>0.15</x:v>
      </x:c>
      <x:c r="G14" s="18" t="n">
        <x:f>C14*F14</x:f>
        <x:v>0.15</x:v>
      </x:c>
      <x:c r="H14" s="28" t="str">
        <x:v>Расчётный резерв: мощность не опубликована</x:v>
      </x:c>
      <x:c r="I14" s="28" t="str">
        <x:v>https://robotail.ru/product/kolotushka-detskiy-igrovoy-avtomat-happy</x:v>
      </x:c>
      <x:c r="J14" s="28" t="str">
        <x:v>Возраст от 2 лет по карточке. Рабочий габарит — предварительный резерв, подтвердить паспортом.</x:v>
      </x:c>
      <x:c r="K14" s="7" t="n">
        <x:v>2</x:v>
      </x:c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38" customHeight="1">
      <x:c r="A15" s="1" t="str">
        <x:v>N2</x:v>
      </x:c>
      <x:c r="B15" s="28" t="str">
        <x:v>Детский автомат с видеоигрой 20 в 1 «Робот»</x:v>
      </x:c>
      <x:c r="C15" s="10" t="n">
        <x:v>1</x:v>
      </x:c>
      <x:c r="D15" s="10" t="n">
        <x:v>145000</x:v>
      </x:c>
      <x:c r="E15" s="7" t="n">
        <x:f>C15*D15</x:f>
        <x:v>145000</x:v>
      </x:c>
      <x:c r="F15" s="19" t="n">
        <x:v>0.15</x:v>
      </x:c>
      <x:c r="G15" s="18" t="n">
        <x:f>C15*F15</x:f>
        <x:v>0.15</x:v>
      </x:c>
      <x:c r="H15" s="28" t="str">
        <x:v>150 Вт по карточке</x:v>
      </x:c>
      <x:c r="I15" s="28" t="str">
        <x:v>https://robotail.ru/product/robot-detskiy-avtomat-s-videoigroy-20-v-1</x:v>
      </x:c>
      <x:c r="J15" s="28" t="str">
        <x:v>Возраст от 3 лет по карточке. Рабочий габарит — предварительный резерв, подтвердить паспортом.</x:v>
      </x:c>
      <x:c r="K15" s="7" t="n">
        <x:v>2</x:v>
      </x:c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38" customHeight="1">
      <x:c r="A16" s="1" t="str">
        <x:v>N3</x:v>
      </x:c>
      <x:c r="B16" s="28" t="str">
        <x:v>Детский силомер боксер «Rocky Boxer» Junior</x:v>
      </x:c>
      <x:c r="C16" s="10" t="n">
        <x:v>1</x:v>
      </x:c>
      <x:c r="D16" s="10" t="n">
        <x:v>200000</x:v>
      </x:c>
      <x:c r="E16" s="7" t="n">
        <x:f>C16*D16</x:f>
        <x:v>200000</x:v>
      </x:c>
      <x:c r="F16" s="19" t="n">
        <x:v>0.1</x:v>
      </x:c>
      <x:c r="G16" s="18" t="n">
        <x:f>C16*F16</x:f>
        <x:v>0.1</x:v>
      </x:c>
      <x:c r="H16" s="28" t="str">
        <x:v>100 Вт по карточке</x:v>
      </x:c>
      <x:c r="I16" s="28" t="str">
        <x:v>https://robotail.ru/product/silomer-bokser-rocky-boxer-junior</x:v>
      </x:c>
      <x:c r="J16" s="28" t="str">
        <x:v>Возраст от 5 лет по карточке. Рабочий габарит — предварительный резерв, подтвердить паспортом.</x:v>
      </x:c>
      <x:c r="K16" s="7" t="n">
        <x:v>2</x:v>
      </x:c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38" customHeight="1">
      <x:c r="A17" s="1"/>
      <x:c r="B17" s="28" t="str">
        <x:v>ИТОГО</x:v>
      </x:c>
      <x:c r="C17" s="7"/>
      <x:c r="D17" s="7"/>
      <x:c r="E17" s="7" t="n">
        <x:f>SUM(E7:E16)</x:f>
        <x:v>1186160</x:v>
      </x:c>
      <x:c r="F17" s="18"/>
      <x:c r="G17" s="18" t="n">
        <x:f>SUM(G7:G16)</x:f>
        <x:v>1.26</x:v>
      </x:c>
      <x:c r="H17" s="28"/>
      <x:c r="I17" s="28"/>
      <x:c r="J17" s="28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/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/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/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RR-FEC-100 | Персонал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Должность</x:v>
      </x:c>
      <x:c r="C6" s="24" t="str">
        <x:v>FTE, ставок</x:v>
      </x:c>
      <x:c r="D6" s="24" t="str">
        <x:v>Оклад gross, ₽</x:v>
      </x:c>
      <x:c r="E6" s="24" t="str">
        <x:v>ФОТ gross, ₽</x:v>
      </x:c>
      <x:c r="F6" s="24" t="str">
        <x:v>Постов одновременно</x:v>
      </x:c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n">
        <x:v>1</x:v>
      </x:c>
      <x:c r="B7" s="7" t="str">
        <x:v>Администратор / касса</x:v>
      </x:c>
      <x:c r="C7" s="17" t="n">
        <x:f>F7*ROUND('Допущения'!$B$22,2)</x:f>
        <x:v>2.36</x:v>
      </x:c>
      <x:c r="D7" s="10" t="n">
        <x:v>45000</x:v>
      </x:c>
      <x:c r="E7" s="7" t="n">
        <x:f>C7*D7</x:f>
        <x:v>106200</x:v>
      </x:c>
      <x:c r="F7" s="7" t="n">
        <x:v>1</x:v>
      </x:c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n">
        <x:v>2</x:v>
      </x:c>
      <x:c r="B8" s="7" t="str">
        <x:v>Оператор игровых зон</x:v>
      </x:c>
      <x:c r="C8" s="17" t="n">
        <x:f>F8*ROUND('Допущения'!$B$22,2)</x:f>
        <x:v>2.36</x:v>
      </x:c>
      <x:c r="D8" s="10" t="n">
        <x:v>45000</x:v>
      </x:c>
      <x:c r="E8" s="7" t="n">
        <x:f>C8*D8</x:f>
        <x:v>106200</x:v>
      </x:c>
      <x:c r="F8" s="7" t="n">
        <x:v>1</x:v>
      </x:c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n">
        <x:v>3</x:v>
      </x:c>
      <x:c r="B9" s="7" t="str">
        <x:v>Управляющий / старший смены</x:v>
      </x:c>
      <x:c r="C9" s="15" t="n">
        <x:v>0.4</x:v>
      </x:c>
      <x:c r="D9" s="10" t="n">
        <x:v>75000</x:v>
      </x:c>
      <x:c r="E9" s="7" t="n">
        <x:f>C9*D9</x:f>
        <x:v>30000</x:v>
      </x:c>
      <x:c r="F9" s="7" t="n">
        <x:v>0</x:v>
      </x:c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n">
        <x:v>4</x:v>
      </x:c>
      <x:c r="B10" s="7" t="str">
        <x:v>Уборщик</x:v>
      </x:c>
      <x:c r="C10" s="15" t="n">
        <x:v>0.4</x:v>
      </x:c>
      <x:c r="D10" s="10" t="n">
        <x:v>38000</x:v>
      </x:c>
      <x:c r="E10" s="7" t="n">
        <x:f>C10*D10</x:f>
        <x:v>15200</x:v>
      </x:c>
      <x:c r="F10" s="7" t="n">
        <x:v>0</x:v>
      </x:c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n">
        <x:v>5</x:v>
      </x:c>
      <x:c r="B11" s="7" t="str">
        <x:v>Техник</x:v>
      </x:c>
      <x:c r="C11" s="15" t="n">
        <x:v>0.3</x:v>
      </x:c>
      <x:c r="D11" s="10" t="n">
        <x:v>70000</x:v>
      </x:c>
      <x:c r="E11" s="7" t="n">
        <x:f>C11*D11</x:f>
        <x:v>21000</x:v>
      </x:c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n">
        <x:v>6</x:v>
      </x:c>
      <x:c r="B12" s="7" t="str">
        <x:v>Аниматор / ведущий</x:v>
      </x:c>
      <x:c r="C12" s="15" t="n">
        <x:v>0.25</x:v>
      </x:c>
      <x:c r="D12" s="10" t="n">
        <x:v>50000</x:v>
      </x:c>
      <x:c r="E12" s="7" t="n">
        <x:f>C12*D12</x:f>
        <x:v>12500</x:v>
      </x:c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n">
        <x:v>7</x:v>
      </x:c>
      <x:c r="B13" s="7" t="str">
        <x:v>Маркетолог, частичная занятость</x:v>
      </x:c>
      <x:c r="C13" s="15" t="n">
        <x:v>0.15</x:v>
      </x:c>
      <x:c r="D13" s="10" t="n">
        <x:v>60000</x:v>
      </x:c>
      <x:c r="E13" s="7" t="n">
        <x:f>C13*D13</x:f>
        <x:v>9000</x:v>
      </x:c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/>
      <x:c r="B14" s="7" t="str">
        <x:v>ИТОГО ставок / ФОТ</x:v>
      </x:c>
      <x:c r="C14" s="16" t="n">
        <x:f>SUM(C7:C13)</x:f>
        <x:v>6.220000000000001</x:v>
      </x:c>
      <x:c r="D14" s="7"/>
      <x:c r="E14" s="7" t="n">
        <x:f>SUM(E7:E13)</x:f>
        <x:v>300100</x:v>
      </x:c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/>
      <x:c r="B15" s="7" t="str">
        <x:v>С резервом взносов</x:v>
      </x:c>
      <x:c r="C15" s="7"/>
      <x:c r="D15" s="7"/>
      <x:c r="E15" s="9" t="n">
        <x:f>E14*(1+'Допущения'!B15)</x:f>
        <x:v>390730.2</x:v>
      </x:c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/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/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 t="str">
        <x:v>План покрытия</x:v>
      </x:c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 t="str">
        <x:v>FTE — оплачиваемая доля полной ставки, не число людей в одной смене.</x:v>
      </x:c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 t="str">
        <x:v>Смены 10:00–21:00 плюс открытие/закрытие. В штатном расписании нужны совместители и подмена.</x:v>
      </x:c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Ночной ремонт, отпуск, больничный и перерывы не перекладываются на дежурного у детей.</x:v>
      </x:c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Для 100 м²: кассир совмещает кафе доготовки, ведущий праздника приглашается дополнительно.</x:v>
      </x:c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RR-FEC-100 | Электрика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Группа</x:v>
      </x:c>
      <x:c r="C6" s="24" t="str">
        <x:v>Установлено кВт</x:v>
      </x:c>
      <x:c r="D6" s="24" t="str">
        <x:v>Коэф. спроса</x:v>
      </x:c>
      <x:c r="E6" s="24" t="str">
        <x:v>Расчет кВт</x:v>
      </x:c>
      <x:c r="F6" s="24" t="str">
        <x:v>Статус</x:v>
      </x:c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n">
        <x:v>1</x:v>
      </x:c>
      <x:c r="B7" s="7" t="str">
        <x:v>Оборудование RR</x:v>
      </x:c>
      <x:c r="C7" s="17" t="n">
        <x:f>'Оборудование'!G17</x:f>
        <x:v>1.26</x:v>
      </x:c>
      <x:c r="D7" s="16" t="n">
        <x:v>0.85</x:v>
      </x:c>
      <x:c r="E7" s="16" t="n">
        <x:f>C7*D7</x:f>
        <x:v>1.071</x:v>
      </x:c>
      <x:c r="F7" s="7" t="str">
        <x:v>Часть значений — проектные резервы</x:v>
      </x:c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n">
        <x:v>2</x:v>
      </x:c>
      <x:c r="B8" s="7" t="str">
        <x:v>Освещение, 8 Вт/м²</x:v>
      </x:c>
      <x:c r="C8" s="16" t="n">
        <x:v>0.8</x:v>
      </x:c>
      <x:c r="D8" s="16" t="n">
        <x:v>0.95</x:v>
      </x:c>
      <x:c r="E8" s="16" t="n">
        <x:f>C8*D8</x:f>
        <x:v>0.76</x:v>
      </x:c>
      <x:c r="F8" s="7" t="str">
        <x:v>Расчетный резерв, не ТУ помещения</x:v>
      </x:c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n">
        <x:v>3</x:v>
      </x:c>
      <x:c r="B9" s="7" t="str">
        <x:v>Вентиляция и охлаждение: резерв 25 Вт/м²</x:v>
      </x:c>
      <x:c r="C9" s="16" t="n">
        <x:v>2.5</x:v>
      </x:c>
      <x:c r="D9" s="16" t="n">
        <x:v>0.8</x:v>
      </x:c>
      <x:c r="E9" s="16" t="n">
        <x:f>C9*D9</x:f>
        <x:v>2</x:v>
      </x:c>
      <x:c r="F9" s="7" t="str">
        <x:v>Расчетный резерв, не ТУ помещения</x:v>
      </x:c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n">
        <x:v>4</x:v>
      </x:c>
      <x:c r="B10" s="7" t="str">
        <x:v>Кухня: резерв</x:v>
      </x:c>
      <x:c r="C10" s="16" t="n">
        <x:v>6</x:v>
      </x:c>
      <x:c r="D10" s="16" t="n">
        <x:v>0.65</x:v>
      </x:c>
      <x:c r="E10" s="16" t="n">
        <x:f>C10*D10</x:f>
        <x:v>3.9000000000000004</x:v>
      </x:c>
      <x:c r="F10" s="7" t="str">
        <x:v>Расчетный резерв, не ТУ помещения</x:v>
      </x:c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n">
        <x:v>5</x:v>
      </x:c>
      <x:c r="B11" s="7" t="str">
        <x:v>Рабочие розетки родителей</x:v>
      </x:c>
      <x:c r="C11" s="16" t="n">
        <x:v>0.8</x:v>
      </x:c>
      <x:c r="D11" s="16" t="n">
        <x:v>0.5</x:v>
      </x:c>
      <x:c r="E11" s="16" t="n">
        <x:f>C11*D11</x:f>
        <x:v>0.4</x:v>
      </x:c>
      <x:c r="F11" s="7" t="str">
        <x:v>Расчетный резерв, не ТУ помещения</x:v>
      </x:c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n">
        <x:v>6</x:v>
      </x:c>
      <x:c r="B12" s="7" t="str">
        <x:v>Касса, сеть, хозяйственные розетки</x:v>
      </x:c>
      <x:c r="C12" s="16" t="n">
        <x:v>2</x:v>
      </x:c>
      <x:c r="D12" s="16" t="n">
        <x:v>0.6</x:v>
      </x:c>
      <x:c r="E12" s="16" t="n">
        <x:f>C12*D12</x:f>
        <x:v>1.2</x:v>
      </x:c>
      <x:c r="F12" s="7" t="str">
        <x:v>Расчетный резерв, не ТУ помещения</x:v>
      </x:c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n">
        <x:v>7</x:v>
      </x:c>
      <x:c r="B13" s="7" t="str">
        <x:v>Сцена и звук, резерв</x:v>
      </x:c>
      <x:c r="C13" s="16" t="n">
        <x:v>1</x:v>
      </x:c>
      <x:c r="D13" s="16" t="n">
        <x:v>0.5</x:v>
      </x:c>
      <x:c r="E13" s="16" t="n">
        <x:f>C13*D13</x:f>
        <x:v>0.5</x:v>
      </x:c>
      <x:c r="F13" s="7" t="str">
        <x:v>Расчетный резерв, не ТУ помещения</x:v>
      </x:c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/>
      <x:c r="B14" s="7"/>
      <x:c r="C14" s="16"/>
      <x:c r="D14" s="16"/>
      <x:c r="E14" s="16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/>
      <x:c r="B15" s="7" t="str">
        <x:v>Суммарная установленная</x:v>
      </x:c>
      <x:c r="C15" s="16" t="n">
        <x:f>SUM(C7:C13)</x:f>
        <x:v>14.360000000000001</x:v>
      </x:c>
      <x:c r="D15" s="16"/>
      <x:c r="E15" s="16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 t="str">
        <x:v>Расчетная рабочая</x:v>
      </x:c>
      <x:c r="C16" s="16"/>
      <x:c r="D16" s="16"/>
      <x:c r="E16" s="16" t="n">
        <x:f>SUM(E7:E13)</x:f>
        <x:v>9.831</x:v>
      </x:c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 t="str">
        <x:v>Резерв на развитие</x:v>
      </x:c>
      <x:c r="C17" s="31" t="n">
        <x:v>0.25</x:v>
      </x:c>
      <x:c r="D17" s="16"/>
      <x:c r="E17" s="16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/>
      <x:c r="B18" s="7" t="str">
        <x:v>Запрос мощности, ориентир</x:v>
      </x:c>
      <x:c r="C18" s="16"/>
      <x:c r="D18" s="16"/>
      <x:c r="E18" s="16" t="n">
        <x:f>E16*(1+C17)</x:f>
        <x:v>12.28875</x:v>
      </x:c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 t="str">
        <x:v>Ток 3 фазы, 400 В, cosφ 0,95</x:v>
      </x:c>
      <x:c r="C19" s="16"/>
      <x:c r="D19" s="16"/>
      <x:c r="E19" s="16" t="n">
        <x:f>E18*1000/(1.732*400*0.95)</x:f>
        <x:v>18.67137170292938</x:v>
      </x:c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 t="str">
        <x:v>Эквивалент работы, ч/день</x:v>
      </x:c>
      <x:c r="C20" s="16" t="n">
        <x:v>8</x:v>
      </x:c>
      <x:c r="D20" s="16"/>
      <x:c r="E20" s="16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 t="str">
        <x:v>Электроэнергия, кВт·ч/мес</x:v>
      </x:c>
      <x:c r="C21" s="16"/>
      <x:c r="D21" s="16"/>
      <x:c r="E21" s="17" t="n">
        <x:f>E16*C20*'Допущения'!B18</x:f>
        <x:v>2359.44</x:v>
      </x:c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 t="str">
        <x:v>Электроэнергия, ₽/мес</x:v>
      </x:c>
      <x:c r="C22" s="16"/>
      <x:c r="D22" s="16"/>
      <x:c r="E22" s="17" t="n">
        <x:f>E21*'Допущения'!B24</x:f>
        <x:v>21234.96</x:v>
      </x:c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 t="str">
        <x:v>Не использовать для монтажа</x:v>
      </x:c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 t="str">
        <x:v>Сечения, автоматы, УЗО, селективность и падение напряжения определяются после обмеров и паспортов.</x:v>
      </x:c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Energy Jump: противоречие напряжения. Триколор: 60/600 Вт. Не подключать по этой таблице.</x:v>
      </x:c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Отопление, существующие общие инженерные системы и категория надежности требуют ТУ арендодателя.</x:v>
      </x:c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50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RR-FEC-100 | Инвестиции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Статья</x:v>
      </x:c>
      <x:c r="C6" s="24" t="str">
        <x:v>Сумма, ₽</x:v>
      </x:c>
      <x:c r="D6" s="24" t="str">
        <x:v>Основание</x:v>
      </x:c>
      <x:c r="E6" s="24"/>
      <x:c r="F6" s="24"/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38" customHeight="1">
      <x:c r="A7" s="1" t="n">
        <x:v>1</x:v>
      </x:c>
      <x:c r="B7" s="28" t="str">
        <x:v>Оборудование RR</x:v>
      </x:c>
      <x:c r="C7" s="29" t="n">
        <x:f>'Оборудование'!E17</x:f>
        <x:v>1186160</x:v>
      </x:c>
      <x:c r="D7" s="28" t="str">
        <x:v>Каталог 24.10.2026</x:v>
      </x:c>
      <x:c r="E7" s="7"/>
      <x:c r="F7" s="7"/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38" customHeight="1">
      <x:c r="A8" s="1" t="n">
        <x:v>2</x:v>
      </x:c>
      <x:c r="B8" s="28" t="str">
        <x:v>Доставка и монтаж RR, резерв</x:v>
      </x:c>
      <x:c r="C8" s="28" t="n">
        <x:f>C7*0.08</x:f>
        <x:v>94892.8</x:v>
      </x:c>
      <x:c r="D8" s="28" t="str">
        <x:v>8% оборудования, требуется смета</x:v>
      </x:c>
      <x:c r="E8" s="7"/>
      <x:c r="F8" s="7"/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38" customHeight="1">
      <x:c r="A9" s="1" t="n">
        <x:v>3</x:v>
      </x:c>
      <x:c r="B9" s="28" t="str">
        <x:v>Отделка и общестрой без инженерии</x:v>
      </x:c>
      <x:c r="C9" s="28" t="n">
        <x:v>1900000</x:v>
      </x:c>
      <x:c r="D9" s="28" t="str">
        <x:v>19000 ₽/м² — гипотеза</x:v>
      </x:c>
      <x:c r="E9" s="7"/>
      <x:c r="F9" s="7"/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38" customHeight="1">
      <x:c r="A10" s="1" t="n">
        <x:v>4</x:v>
      </x:c>
      <x:c r="B10" s="28" t="str">
        <x:v>Кафе, кухня, мебель и посадка</x:v>
      </x:c>
      <x:c r="C10" s="28" t="n">
        <x:v>240000</x:v>
      </x:c>
      <x:c r="D10" s="28" t="str">
        <x:v>Внешние поставщики, бюджетный резерв</x:v>
      </x:c>
      <x:c r="E10" s="7"/>
      <x:c r="F10" s="7"/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38" customHeight="1">
      <x:c r="A11" s="1" t="n">
        <x:v>5</x:v>
      </x:c>
      <x:c r="B11" s="28" t="str">
        <x:v>Сцена, звук, банкетные комнаты и декор</x:v>
      </x:c>
      <x:c r="C11" s="28" t="n">
        <x:v>70000</x:v>
      </x:c>
      <x:c r="D11" s="28" t="str">
        <x:v>Внешние поставщики, бюджетный резерв</x:v>
      </x:c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38" customHeight="1">
      <x:c r="A12" s="1" t="n">
        <x:v>6</x:v>
      </x:c>
      <x:c r="B12" s="28" t="str">
        <x:v>Касса, учет доступа, СКУД, CCTV, сеть</x:v>
      </x:c>
      <x:c r="C12" s="28" t="n">
        <x:v>180000</x:v>
      </x:c>
      <x:c r="D12" s="28" t="str">
        <x:v>Внешние поставщики, бюджетный резерв</x:v>
      </x:c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38" customHeight="1">
      <x:c r="A13" s="1" t="n">
        <x:v>7</x:v>
      </x:c>
      <x:c r="B13" s="28" t="str">
        <x:v>Электрика, вентиляция, пожарные системы: резерв</x:v>
      </x:c>
      <x:c r="C13" s="28" t="n">
        <x:v>600000</x:v>
      </x:c>
      <x:c r="D13" s="28" t="str">
        <x:v>Внешние поставщики, бюджетный резерв</x:v>
      </x:c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38" customHeight="1">
      <x:c r="A14" s="1" t="n">
        <x:v>8</x:v>
      </x:c>
      <x:c r="B14" s="28" t="str">
        <x:v>Обследование, адаптация проекта, согласования: резерв</x:v>
      </x:c>
      <x:c r="C14" s="28" t="n">
        <x:v>100000</x:v>
      </x:c>
      <x:c r="D14" s="28" t="str">
        <x:v>Внешние поставщики, бюджетный резерв</x:v>
      </x:c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n">
        <x:v>9</x:v>
      </x:c>
      <x:c r="B15" s="7" t="str">
        <x:v>Картридеры / контроллеры аркад и интеграция: резерв</x:v>
      </x:c>
      <x:c r="C15" s="9" t="n">
        <x:f>'Аркады'!C11*22000</x:f>
        <x:v>88000</x:v>
      </x:c>
      <x:c r="D15" s="7" t="str">
        <x:v>Внешние поставщики, бюджетный резерв</x:v>
      </x:c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 t="str">
        <x:v>Основные вложения</x:v>
      </x:c>
      <x:c r="C16" s="7" t="n">
        <x:f>SUM(C7:C15)</x:f>
        <x:v>4459052.8</x:v>
      </x:c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 t="str">
        <x:v>Непредвиденные, 10%</x:v>
      </x:c>
      <x:c r="C17" s="7" t="n">
        <x:f>C16*0.10</x:f>
        <x:v>445905.28</x:v>
      </x:c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/>
      <x:c r="B18" s="7" t="str">
        <x:v>Депозит аренды: два месяца</x:v>
      </x:c>
      <x:c r="C18" s="7" t="n">
        <x:v>150000</x:v>
      </x:c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 t="str">
        <x:v>Реклама запуска</x:v>
      </x:c>
      <x:c r="C19" s="7" t="n">
        <x:v>150000</x:v>
      </x:c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 t="str">
        <x:v>Оборотный резерв: 3 месяца fixed</x:v>
      </x:c>
      <x:c r="C20" s="7" t="n">
        <x:f>C35*3</x:f>
        <x:v>1660588.63</x:v>
      </x:c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 t="str">
        <x:v>ВСЕГО стартовый бюджет</x:v>
      </x:c>
      <x:c r="C21" s="7" t="n">
        <x:f>SUM(C16:C20)</x:f>
        <x:v>6865546.71</x:v>
      </x:c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 t="str">
        <x:v>№</x:v>
      </x:c>
      <x:c r="B24" s="7" t="str">
        <x:v>Постоянные расходы / месяц</x:v>
      </x:c>
      <x:c r="C24" s="7" t="str">
        <x:v>Сумма, ₽</x:v>
      </x:c>
      <x:c r="D24" s="7" t="str">
        <x:v>Основание</x:v>
      </x:c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 t="str">
        <x:v>ФОТ с резервом взносов</x:v>
      </x:c>
      <x:c r="C25" s="9" t="n">
        <x:f>'Персонал'!E15</x:f>
        <x:v>390730.2</x:v>
      </x:c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 t="n">
        <x:v>2</x:v>
      </x:c>
      <x:c r="B26" s="1" t="str">
        <x:v>Аренда</x:v>
      </x:c>
      <x:c r="C26" s="7" t="n">
        <x:v>75000</x:v>
      </x:c>
      <x:c r="D26" s="7" t="str">
        <x:v>Бюджетное допущение</x:v>
      </x:c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n">
        <x:v>3</x:v>
      </x:c>
      <x:c r="B27" s="1" t="str">
        <x:v>Коммунальные: электричество (9 ₽/кВт·ч)</x:v>
      </x:c>
      <x:c r="C27" s="9" t="n">
        <x:f>'Электрика'!E22</x:f>
        <x:v>21234.96</x:v>
      </x:c>
      <x:c r="D27" s="7" t="str">
        <x:v>Бюджетное допущение</x:v>
      </x:c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n">
        <x:v>4</x:v>
      </x:c>
      <x:c r="B28" s="1" t="str">
        <x:v>Вода, отопление и общие услуги</x:v>
      </x:c>
      <x:c r="C28" s="7" t="n">
        <x:v>6000</x:v>
      </x:c>
      <x:c r="D28" s="7" t="str">
        <x:v>Бюджетное допущение</x:v>
      </x:c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 t="n">
        <x:v>5</x:v>
      </x:c>
      <x:c r="B29" s="1" t="str">
        <x:v>Текущая реклама, включая события</x:v>
      </x:c>
      <x:c r="C29" s="7" t="n">
        <x:v>35000</x:v>
      </x:c>
      <x:c r="D29" s="7" t="str">
        <x:v>Бюджетное допущение</x:v>
      </x:c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 t="n">
        <x:v>6</x:v>
      </x:c>
      <x:c r="B30" s="1" t="str">
        <x:v>Расходы связи, кассы, ПО, бухгалтерии</x:v>
      </x:c>
      <x:c r="C30" s="7" t="n">
        <x:v>18000</x:v>
      </x:c>
      <x:c r="D30" s="7" t="str">
        <x:v>Бюджетное допущение</x:v>
      </x:c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 t="n">
        <x:v>7</x:v>
      </x:c>
      <x:c r="B31" s="1" t="str">
        <x:v>Плановый сервис и расходники</x:v>
      </x:c>
      <x:c r="C31" s="9" t="n">
        <x:f>SUMIF('Оборудование'!K7:K16,2,'Оборудование'!E7:E16)*0.05/12+(C7-SUMIF('Оборудование'!K7:K16,2,'Оборудование'!E7:E16))*0.035/12</x:f>
        <x:v>4064.383333333333</x:v>
      </x:c>
      <x:c r="D31" s="7" t="str">
        <x:v>Бюджетное допущение</x:v>
      </x:c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 t="n">
        <x:v>8</x:v>
      </x:c>
      <x:c r="B32" s="1" t="str">
        <x:v>Страхование и охрана: резерв</x:v>
      </x:c>
      <x:c r="C32" s="7" t="n">
        <x:v>3500</x:v>
      </x:c>
      <x:c r="D32" s="7" t="str">
        <x:v>Бюджетное допущение</x:v>
      </x:c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 t="str">
        <x:v>ИТОГО постоянных</x:v>
      </x:c>
      <x:c r="C35" s="7" t="n">
        <x:f>SUM(C25:C32)</x:f>
        <x:v>553529.5433333333</x:v>
      </x:c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 t="str">
        <x:v>Внешнее оснащение</x:v>
      </x:c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 t="str">
        <x:v>Порекомендуем надежных поставщиков подобного оборудования клиентам, которые открывают центр вместе с нами.</x:v>
      </x:c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 t="str">
        <x:v>В стартовом бюджете есть оборотный резерв и возвратный депозит: они не являются продажей оборудования RR.</x:v>
      </x:c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 t="str">
        <x:v>Кредит, покупка недвижимости и централизованное отопление сверх резерва не включены.</x:v>
      </x:c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RR-FEC-100 | Зоны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Зона</x:v>
      </x:c>
      <x:c r="C6" s="24" t="str">
        <x:v>Объем</x:v>
      </x:c>
      <x:c r="D6" s="24" t="str">
        <x:v>Цена</x:v>
      </x:c>
      <x:c r="E6" s="24" t="str">
        <x:v>Платежи ₽</x:v>
      </x:c>
      <x:c r="F6" s="24" t="str">
        <x:v>Без НДС ₽</x:v>
      </x:c>
      <x:c r="G6" s="24" t="str">
        <x:v>Прямые ₽</x:v>
      </x:c>
      <x:c r="H6" s="24" t="str">
        <x:v>Эквайринг ₽</x:v>
      </x:c>
      <x:c r="I6" s="24" t="str">
        <x:v>Маржа ₽</x:v>
      </x:c>
      <x:c r="J6" s="24" t="str">
        <x:v>Общие fixed ₽</x:v>
      </x:c>
      <x:c r="K6" s="24" t="str">
        <x:v>Налог ₽</x:v>
      </x:c>
      <x:c r="L6" s="24" t="str">
        <x:v>Обновление ₽</x:v>
      </x:c>
      <x:c r="M6" s="24" t="str">
        <x:v>Поток ₽</x:v>
      </x:c>
      <x:c r="N6" s="24" t="str">
        <x:v>Доля выручки</x:v>
      </x:c>
      <x:c r="O6" s="24" t="str">
        <x:v>Вложения ₽</x:v>
      </x:c>
      <x:c r="P6" s="24" t="str">
        <x:v>Простая окуп. мес</x:v>
      </x:c>
      <x:c r="Q6" s="24"/>
      <x:c r="R6" s="1"/>
      <x:c r="S6" s="1"/>
      <x:c r="T6" s="1"/>
      <x:c r="U6" s="1"/>
      <x:c r="V6" s="1"/>
      <x:c r="W6" s="1"/>
    </x:row>
    <x:row r="7" ht="23" customHeight="1">
      <x:c r="A7" s="1" t="n">
        <x:v>1</x:v>
      </x:c>
      <x:c r="B7" s="9" t="str">
        <x:f>'Допущения'!B31</x:f>
        <x:v>Входные билеты и свободная игра</x:v>
      </x:c>
      <x:c r="C7" s="9" t="n">
        <x:f>'Допущения'!C31*'Допущения'!$B$8</x:f>
        <x:v>1334.7</x:v>
      </x:c>
      <x:c r="D7" s="9" t="n">
        <x:f>'Допущения'!D31</x:f>
        <x:v>650</x:v>
      </x:c>
      <x:c r="E7" s="7" t="n">
        <x:f>C7*D7</x:f>
        <x:v>867555</x:v>
      </x:c>
      <x:c r="F7" s="9" t="n">
        <x:f>E7/(1+'Допущения'!$B$9)</x:f>
        <x:v>826242.8571428572</x:v>
      </x:c>
      <x:c r="G7" s="9" t="n">
        <x:f>F7*'Допущения'!E31+C7*'Допущения'!F31</x:f>
        <x:v>16524.857142857145</x:v>
      </x:c>
      <x:c r="H7" s="9" t="n">
        <x:f>E7*'Допущения'!$B$11</x:f>
        <x:v>17351.1</x:v>
      </x:c>
      <x:c r="I7" s="7" t="n">
        <x:f>F7-G7-H7</x:f>
        <x:v>792366.9</x:v>
      </x:c>
      <x:c r="J7" s="9" t="n">
        <x:f>'Инвестиции'!$C$35*'Допущения'!G31/SUM('Допущения'!$G$31:$G$37)</x:f>
        <x:v>201807.64600694444</x:v>
      </x:c>
      <x:c r="K7" s="9" t="n">
        <x:f>F7*'Допущения'!$B$10</x:f>
        <x:v>49574.57142857143</x:v>
      </x:c>
      <x:c r="L7" s="9" t="n">
        <x:f>F7*'Допущения'!$B$12</x:f>
        <x:v>16524.857142857145</x:v>
      </x:c>
      <x:c r="M7" s="7" t="n">
        <x:f>I7-J7-K7-L7</x:f>
        <x:v>524459.8254216269</x:v>
      </x:c>
      <x:c r="N7" s="20" t="n">
        <x:f>E7/SUM($E$7:$E$13)</x:f>
        <x:v>0.6062804435692817</x:v>
      </x:c>
      <x:c r="O7" s="9" t="n">
        <x:f>'Инвестиции'!$C$21*'Допущения'!G31/SUM('Допущения'!$G$31:$G$37)</x:f>
        <x:v>2503063.9046874996</x:v>
      </x:c>
      <x:c r="P7" s="21" t="n">
        <x:f>IF(M7&gt;0,O7/M7,"нет")</x:f>
        <x:v>4.772651370722669</x:v>
      </x:c>
      <x:c r="Q7" s="7"/>
      <x:c r="R7" s="7"/>
      <x:c r="S7" s="7"/>
      <x:c r="T7" s="7"/>
      <x:c r="U7" s="7"/>
      <x:c r="V7" s="7"/>
      <x:c r="W7" s="7"/>
    </x:row>
    <x:row r="8" ht="23" customHeight="1">
      <x:c r="A8" s="1" t="n">
        <x:v>2</x:v>
      </x:c>
      <x:c r="B8" s="9" t="str">
        <x:f>'Допущения'!B32</x:f>
        <x:v>Технологические аттракционы</x:v>
      </x:c>
      <x:c r="C8" s="9" t="n">
        <x:f>'Допущения'!C32*'Допущения'!$B$8</x:f>
        <x:v>266.94</x:v>
      </x:c>
      <x:c r="D8" s="9" t="n">
        <x:f>'Допущения'!D32</x:f>
        <x:v>140</x:v>
      </x:c>
      <x:c r="E8" s="7" t="n">
        <x:f>C8*D8</x:f>
        <x:v>37371.6</x:v>
      </x:c>
      <x:c r="F8" s="9" t="n">
        <x:f>E8/(1+'Допущения'!$B$9)</x:f>
        <x:v>35592</x:v>
      </x:c>
      <x:c r="G8" s="9" t="n">
        <x:f>F8*'Допущения'!E32+C8*'Допущения'!F32</x:f>
        <x:v>1779.6000000000001</x:v>
      </x:c>
      <x:c r="H8" s="9" t="n">
        <x:f>E8*'Допущения'!$B$11</x:f>
        <x:v>747.432</x:v>
      </x:c>
      <x:c r="I8" s="7" t="n">
        <x:f>F8-G8-H8</x:f>
        <x:v>33064.968</x:v>
      </x:c>
      <x:c r="J8" s="9" t="n">
        <x:f>'Инвестиции'!$C$35*'Допущения'!G32/SUM('Допущения'!$G$31:$G$37)</x:f>
        <x:v>86488.99114583334</x:v>
      </x:c>
      <x:c r="K8" s="9" t="n">
        <x:f>F8*'Допущения'!$B$10</x:f>
        <x:v>2135.52</x:v>
      </x:c>
      <x:c r="L8" s="9" t="n">
        <x:f>F8*'Допущения'!$B$12</x:f>
        <x:v>711.84</x:v>
      </x:c>
      <x:c r="M8" s="7" t="n">
        <x:f>I8-J8-K8-L8</x:f>
        <x:v>-56271.38314583333</x:v>
      </x:c>
      <x:c r="N8" s="20" t="n">
        <x:f>E8/SUM($E$7:$E$13)</x:f>
        <x:v>0.02611669603067675</x:v>
      </x:c>
      <x:c r="O8" s="9" t="n">
        <x:f>'Инвестиции'!$C$21*'Допущения'!G32/SUM('Допущения'!$G$31:$G$37)</x:f>
        <x:v>1072741.6734375</x:v>
      </x:c>
      <x:c r="P8" s="21" t="str">
        <x:f>IF(M8&gt;0,O8/M8,"нет")</x:f>
        <x:v>нет</x:v>
      </x:c>
      <x:c r="Q8" s="7"/>
      <x:c r="R8" s="7"/>
      <x:c r="S8" s="7"/>
      <x:c r="T8" s="7"/>
      <x:c r="U8" s="7"/>
      <x:c r="V8" s="7"/>
      <x:c r="W8" s="7"/>
    </x:row>
    <x:row r="9" ht="23" customHeight="1">
      <x:c r="A9" s="1" t="n">
        <x:v>3</x:v>
      </x:c>
      <x:c r="B9" s="9" t="str">
        <x:f>'Допущения'!B33</x:f>
        <x:v>Аркады и семейные игры</x:v>
      </x:c>
      <x:c r="C9" s="9" t="n">
        <x:f>'Допущения'!C33*'Допущения'!$B$8</x:f>
        <x:v>2002.0499999999997</x:v>
      </x:c>
      <x:c r="D9" s="9" t="n">
        <x:f>'Допущения'!D33</x:f>
        <x:v>70</x:v>
      </x:c>
      <x:c r="E9" s="7" t="n">
        <x:f>C9*D9</x:f>
        <x:v>140143.49999999997</x:v>
      </x:c>
      <x:c r="F9" s="9" t="n">
        <x:f>E9/(1+'Допущения'!$B$9)</x:f>
        <x:v>133469.99999999997</x:v>
      </x:c>
      <x:c r="G9" s="9" t="n">
        <x:f>F9*'Допущения'!E33+C9*'Допущения'!F33</x:f>
        <x:v>26693.999999999996</x:v>
      </x:c>
      <x:c r="H9" s="9" t="n">
        <x:f>E9*'Допущения'!$B$11</x:f>
        <x:v>2802.8699999999994</x:v>
      </x:c>
      <x:c r="I9" s="7" t="n">
        <x:f>F9-G9-H9</x:f>
        <x:v>103973.12999999998</x:v>
      </x:c>
      <x:c r="J9" s="9" t="n">
        <x:f>'Инвестиции'!$C$35*'Допущения'!G33/SUM('Допущения'!$G$31:$G$37)</x:f>
        <x:v>69191.19291666667</x:v>
      </x:c>
      <x:c r="K9" s="9" t="n">
        <x:f>F9*'Допущения'!$B$10</x:f>
        <x:v>8008.199999999998</x:v>
      </x:c>
      <x:c r="L9" s="9" t="n">
        <x:f>F9*'Допущения'!$B$12</x:f>
        <x:v>2669.3999999999996</x:v>
      </x:c>
      <x:c r="M9" s="7" t="n">
        <x:f>I9-J9-K9-L9</x:f>
        <x:v>24104.33708333331</x:v>
      </x:c>
      <x:c r="N9" s="20" t="n">
        <x:f>E9/SUM($E$7:$E$13)</x:f>
        <x:v>0.0979376101150378</x:v>
      </x:c>
      <x:c r="O9" s="9" t="n">
        <x:f>'Инвестиции'!$C$21*'Допущения'!G33/SUM('Допущения'!$G$31:$G$37)</x:f>
        <x:v>858193.33875</x:v>
      </x:c>
      <x:c r="P9" s="21" t="n">
        <x:f>IF(M9&gt;0,O9/M9,"нет")</x:f>
        <x:v>35.60327487053725</x:v>
      </x:c>
      <x:c r="Q9" s="7"/>
      <x:c r="R9" s="7"/>
      <x:c r="S9" s="7"/>
      <x:c r="T9" s="7"/>
      <x:c r="U9" s="7"/>
      <x:c r="V9" s="7"/>
      <x:c r="W9" s="7"/>
    </x:row>
    <x:row r="10" ht="23" customHeight="1">
      <x:c r="A10" s="1" t="n">
        <x:v>4</x:v>
      </x:c>
      <x:c r="B10" s="9" t="str">
        <x:f>'Допущения'!B34</x:f>
        <x:v>Банкетные комнаты и ведущий</x:v>
      </x:c>
      <x:c r="C10" s="9" t="n">
        <x:f>'Допущения'!C34*'Допущения'!$B$8</x:f>
        <x:v>14.830000000000002</x:v>
      </x:c>
      <x:c r="D10" s="9" t="n">
        <x:f>'Допущения'!D34</x:f>
        <x:v>9500</x:v>
      </x:c>
      <x:c r="E10" s="7" t="n">
        <x:f>C10*D10</x:f>
        <x:v>140885.00000000003</x:v>
      </x:c>
      <x:c r="F10" s="9" t="n">
        <x:f>E10/(1+'Допущения'!$B$9)</x:f>
        <x:v>134176.1904761905</x:v>
      </x:c>
      <x:c r="G10" s="9" t="n">
        <x:f>F10*'Допущения'!E34+C10*'Допущения'!F34</x:f>
        <x:v>33544.047619047626</x:v>
      </x:c>
      <x:c r="H10" s="9" t="n">
        <x:f>E10*'Допущения'!$B$11</x:f>
        <x:v>2817.7000000000007</x:v>
      </x:c>
      <x:c r="I10" s="7" t="n">
        <x:f>F10-G10-H10</x:f>
        <x:v>97814.44285714287</x:v>
      </x:c>
      <x:c r="J10" s="9" t="n">
        <x:f>'Инвестиции'!$C$35*'Допущения'!G34/SUM('Допущения'!$G$31:$G$37)</x:f>
        <x:v>69191.19291666667</x:v>
      </x:c>
      <x:c r="K10" s="9" t="n">
        <x:f>F10*'Допущения'!$B$10</x:f>
        <x:v>8050.57142857143</x:v>
      </x:c>
      <x:c r="L10" s="9" t="n">
        <x:f>F10*'Допущения'!$B$12</x:f>
        <x:v>2683.52380952381</x:v>
      </x:c>
      <x:c r="M10" s="7" t="n">
        <x:f>I10-J10-K10-L10</x:f>
        <x:v>17889.154702380965</x:v>
      </x:c>
      <x:c r="N10" s="20" t="n">
        <x:f>E10/SUM($E$7:$E$13)</x:f>
        <x:v>0.09845579852834492</x:v>
      </x:c>
      <x:c r="O10" s="9" t="n">
        <x:f>'Инвестиции'!$C$21*'Допущения'!G34/SUM('Допущения'!$G$31:$G$37)</x:f>
        <x:v>858193.33875</x:v>
      </x:c>
      <x:c r="P10" s="21" t="n">
        <x:f>IF(M10&gt;0,O10/M10,"нет")</x:f>
        <x:v>47.972827840533924</x:v>
      </x:c>
      <x:c r="Q10" s="7"/>
      <x:c r="R10" s="7"/>
      <x:c r="S10" s="7"/>
      <x:c r="T10" s="7"/>
      <x:c r="U10" s="7"/>
      <x:c r="V10" s="7"/>
      <x:c r="W10" s="7"/>
    </x:row>
    <x:row r="11" ht="23" customHeight="1">
      <x:c r="A11" s="1" t="n">
        <x:v>5</x:v>
      </x:c>
      <x:c r="B11" s="9" t="str">
        <x:f>'Допущения'!B35</x:f>
        <x:v>Кафе и ожидание родителей</x:v>
      </x:c>
      <x:c r="C11" s="9" t="n">
        <x:f>'Допущения'!C35*'Допущения'!$B$8</x:f>
        <x:v>533.88</x:v>
      </x:c>
      <x:c r="D11" s="9" t="n">
        <x:f>'Допущения'!D35</x:f>
        <x:v>420</x:v>
      </x:c>
      <x:c r="E11" s="7" t="n">
        <x:f>C11*D11</x:f>
        <x:v>224229.6</x:v>
      </x:c>
      <x:c r="F11" s="9" t="n">
        <x:f>E11/(1+'Допущения'!$B$9)</x:f>
        <x:v>213552</x:v>
      </x:c>
      <x:c r="G11" s="9" t="n">
        <x:f>F11*'Допущения'!E35+C11*'Допущения'!F35</x:f>
        <x:v>74743.2</x:v>
      </x:c>
      <x:c r="H11" s="9" t="n">
        <x:f>E11*'Допущения'!$B$11</x:f>
        <x:v>4484.592000000001</x:v>
      </x:c>
      <x:c r="I11" s="7" t="n">
        <x:f>F11-G11-H11</x:f>
        <x:v>134324.20799999998</x:v>
      </x:c>
      <x:c r="J11" s="9" t="n">
        <x:f>'Инвестиции'!$C$35*'Допущения'!G35/SUM('Допущения'!$G$31:$G$37)</x:f>
        <x:v>80723.05840277778</x:v>
      </x:c>
      <x:c r="K11" s="9" t="n">
        <x:f>F11*'Допущения'!$B$10</x:f>
        <x:v>12813.119999999999</x:v>
      </x:c>
      <x:c r="L11" s="9" t="n">
        <x:f>F11*'Допущения'!$B$12</x:f>
        <x:v>4271.04</x:v>
      </x:c>
      <x:c r="M11" s="7" t="n">
        <x:f>I11-J11-K11-L11</x:f>
        <x:v>36516.98959722221</x:v>
      </x:c>
      <x:c r="N11" s="20" t="n">
        <x:f>E11/SUM($E$7:$E$13)</x:f>
        <x:v>0.1567001761840605</x:v>
      </x:c>
      <x:c r="O11" s="9" t="n">
        <x:f>'Инвестиции'!$C$21*'Допущения'!G35/SUM('Допущения'!$G$31:$G$37)</x:f>
        <x:v>1001225.561875</x:v>
      </x:c>
      <x:c r="P11" s="21" t="n">
        <x:f>IF(M11&gt;0,O11/M11,"нет")</x:f>
        <x:v>27.418075063645492</x:v>
      </x:c>
      <x:c r="Q11" s="7"/>
      <x:c r="R11" s="7"/>
      <x:c r="S11" s="7"/>
      <x:c r="T11" s="7"/>
      <x:c r="U11" s="7"/>
      <x:c r="V11" s="7"/>
      <x:c r="W11" s="7"/>
    </x:row>
    <x:row r="12" ht="23" customHeight="1">
      <x:c r="A12" s="1" t="n">
        <x:v>6</x:v>
      </x:c>
      <x:c r="B12" s="9" t="str">
        <x:f>'Допущения'!B36</x:f>
        <x:v>Платные мастер-классы</x:v>
      </x:c>
      <x:c r="C12" s="9" t="n">
        <x:f>'Допущения'!C36*'Допущения'!$B$8</x:f>
        <x:v>59.32000000000001</x:v>
      </x:c>
      <x:c r="D12" s="9" t="n">
        <x:f>'Допущения'!D36</x:f>
        <x:v>350</x:v>
      </x:c>
      <x:c r="E12" s="7" t="n">
        <x:f>C12*D12</x:f>
        <x:v>20762.000000000004</x:v>
      </x:c>
      <x:c r="F12" s="9" t="n">
        <x:f>E12/(1+'Допущения'!$B$9)</x:f>
        <x:v>19773.333333333336</x:v>
      </x:c>
      <x:c r="G12" s="9" t="n">
        <x:f>F12*'Допущения'!E36+C12*'Допущения'!F36</x:f>
        <x:v>5932.000000000001</x:v>
      </x:c>
      <x:c r="H12" s="9" t="n">
        <x:f>E12*'Допущения'!$B$11</x:f>
        <x:v>415.24000000000007</x:v>
      </x:c>
      <x:c r="I12" s="7" t="n">
        <x:f>F12-G12-H12</x:f>
        <x:v>13426.093333333336</x:v>
      </x:c>
      <x:c r="J12" s="9" t="n">
        <x:f>'Инвестиции'!$C$35*'Допущения'!G36/SUM('Допущения'!$G$31:$G$37)</x:f>
        <x:v>46127.46194444445</x:v>
      </x:c>
      <x:c r="K12" s="9" t="n">
        <x:f>F12*'Допущения'!$B$10</x:f>
        <x:v>1186.4</x:v>
      </x:c>
      <x:c r="L12" s="9" t="n">
        <x:f>F12*'Допущения'!$B$12</x:f>
        <x:v>395.4666666666667</x:v>
      </x:c>
      <x:c r="M12" s="7" t="n">
        <x:f>I12-J12-K12-L12</x:f>
        <x:v>-34283.23527777778</x:v>
      </x:c>
      <x:c r="N12" s="20" t="n">
        <x:f>E12/SUM($E$7:$E$13)</x:f>
        <x:v>0.014509275572598197</x:v>
      </x:c>
      <x:c r="O12" s="9" t="n">
        <x:f>'Инвестиции'!$C$21*'Допущения'!G36/SUM('Допущения'!$G$31:$G$37)</x:f>
        <x:v>572128.8925000001</x:v>
      </x:c>
      <x:c r="P12" s="21" t="str">
        <x:f>IF(M12&gt;0,O12/M12,"нет")</x:f>
        <x:v>нет</x:v>
      </x:c>
      <x:c r="Q12" s="7"/>
      <x:c r="R12" s="7"/>
      <x:c r="S12" s="7"/>
      <x:c r="T12" s="7"/>
      <x:c r="U12" s="7"/>
      <x:c r="V12" s="7"/>
      <x:c r="W12" s="7"/>
    </x:row>
    <x:row r="13" ht="23" customHeight="1">
      <x:c r="A13" s="1" t="n">
        <x:v>7</x:v>
      </x:c>
      <x:c r="B13" s="9" t="str">
        <x:f>'Допущения'!B37</x:f>
        <x:v>Нейрофото</x:v>
      </x:c>
      <x:c r="C13" s="9" t="n">
        <x:f>'Допущения'!C37*'Допущения'!$B$8</x:f>
        <x:v>0</x:v>
      </x:c>
      <x:c r="D13" s="9" t="n">
        <x:f>'Допущения'!D37</x:f>
        <x:v>200</x:v>
      </x:c>
      <x:c r="E13" s="7" t="n">
        <x:f>C13*D13</x:f>
        <x:v>0</x:v>
      </x:c>
      <x:c r="F13" s="9" t="n">
        <x:f>E13/(1+'Допущения'!$B$9)</x:f>
        <x:v>0</x:v>
      </x:c>
      <x:c r="G13" s="9" t="n">
        <x:f>F13*'Допущения'!E37+C13*'Допущения'!F37</x:f>
        <x:v>0</x:v>
      </x:c>
      <x:c r="H13" s="9" t="n">
        <x:f>E13*'Допущения'!$B$11</x:f>
        <x:v>0</x:v>
      </x:c>
      <x:c r="I13" s="7" t="n">
        <x:f>F13-G13-H13</x:f>
        <x:v>0</x:v>
      </x:c>
      <x:c r="J13" s="9" t="n">
        <x:f>'Инвестиции'!$C$35*'Допущения'!G37/SUM('Допущения'!$G$31:$G$37)</x:f>
        <x:v>0</x:v>
      </x:c>
      <x:c r="K13" s="9" t="n">
        <x:f>F13*'Допущения'!$B$10</x:f>
        <x:v>0</x:v>
      </x:c>
      <x:c r="L13" s="9" t="n">
        <x:f>F13*'Допущения'!$B$12</x:f>
        <x:v>0</x:v>
      </x:c>
      <x:c r="M13" s="7" t="n">
        <x:f>I13-J13-K13-L13</x:f>
        <x:v>0</x:v>
      </x:c>
      <x:c r="N13" s="20" t="n">
        <x:f>E13/SUM($E$7:$E$13)</x:f>
        <x:v>0</x:v>
      </x:c>
      <x:c r="O13" s="9" t="n">
        <x:f>'Инвестиции'!$C$21*'Допущения'!G37/SUM('Допущения'!$G$31:$G$37)</x:f>
        <x:v>0</x:v>
      </x:c>
      <x:c r="P13" s="21" t="str">
        <x:f>IF(M13&gt;0,O13/M13,"нет")</x:f>
        <x:v>нет</x:v>
      </x:c>
      <x:c r="Q13" s="7"/>
      <x:c r="R13" s="7"/>
      <x:c r="S13" s="7"/>
      <x:c r="T13" s="7"/>
      <x:c r="U13" s="7"/>
      <x:c r="V13" s="7"/>
      <x:c r="W13" s="7"/>
    </x:row>
    <x:row r="14" ht="23" customHeight="1">
      <x:c r="A14" s="1"/>
      <x:c r="B14" s="7" t="str">
        <x:v>ИТОГО</x:v>
      </x:c>
      <x:c r="C14" s="7"/>
      <x:c r="D14" s="7"/>
      <x:c r="E14" s="7" t="n">
        <x:f>SUM(E7:E13)</x:f>
        <x:v>1430946.7000000002</x:v>
      </x:c>
      <x:c r="F14" s="7" t="n">
        <x:f>SUM(F7:F13)</x:f>
        <x:v>1362806.3809523808</x:v>
      </x:c>
      <x:c r="G14" s="7" t="n">
        <x:f>SUM(G7:G13)</x:f>
        <x:v>159217.70476190478</x:v>
      </x:c>
      <x:c r="H14" s="7" t="n">
        <x:f>SUM(H7:H13)</x:f>
        <x:v>28618.934</x:v>
      </x:c>
      <x:c r="I14" s="7" t="n">
        <x:f>SUM(I7:I13)</x:f>
        <x:v>1174969.742190476</x:v>
      </x:c>
      <x:c r="J14" s="7" t="n">
        <x:f>SUM(J7:J13)</x:f>
        <x:v>553529.5433333333</x:v>
      </x:c>
      <x:c r="K14" s="7" t="n">
        <x:f>SUM(K7:K13)</x:f>
        <x:v>81768.38285714285</x:v>
      </x:c>
      <x:c r="L14" s="7" t="n">
        <x:f>SUM(L7:L13)</x:f>
        <x:v>27256.12761904762</x:v>
      </x:c>
      <x:c r="M14" s="7" t="n">
        <x:f>SUM(M7:M13)</x:f>
        <x:v>512415.6883809522</x:v>
      </x:c>
      <x:c r="N14" s="20" t="n">
        <x:f>SUM(N7:N13)</x:f>
        <x:v>0.9999999999999999</x:v>
      </x:c>
      <x:c r="O14" s="7" t="n">
        <x:f>SUM(O7:O13)</x:f>
        <x:v>6865546.709999999</x:v>
      </x:c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/>
      <x:c r="B15" s="7"/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/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Управленческое распределение</x:v>
      </x:c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 t="str">
        <x:v>Общие расходы и стартовый бюджет распределены по редактируемым весам, не по доказанной причинности.</x:v>
      </x:c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 t="str">
        <x:v>Окупаемость зоны — простой показатель стабильного месяца, без разгона. Окупаемость центра — по накопленному потоку.</x:v>
      </x:c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 t="str">
        <x:v>Модель не прибавляет выручку от шахмат: это бесплатное удобство кафе.</x:v>
      </x:c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/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/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19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RR-FEC-100 | Поток 48 мес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Мес</x:v>
      </x:c>
      <x:c r="B6" s="25" t="str">
        <x:v>Разгон × сезон</x:v>
      </x:c>
      <x:c r="C6" s="24" t="str">
        <x:v>Билеты</x:v>
      </x:c>
      <x:c r="D6" s="24" t="str">
        <x:v>Техно</x:v>
      </x:c>
      <x:c r="E6" s="24" t="str">
        <x:v>Аркады</x:v>
      </x:c>
      <x:c r="F6" s="24" t="str">
        <x:v>Праздники</x:v>
      </x:c>
      <x:c r="G6" s="24" t="str">
        <x:v>Кафе</x:v>
      </x:c>
      <x:c r="H6" s="24" t="str">
        <x:v>Мастер-классы</x:v>
      </x:c>
      <x:c r="I6" s="24" t="str">
        <x:v>Фото</x:v>
      </x:c>
      <x:c r="J6" s="24" t="str">
        <x:v>Платежи</x:v>
      </x:c>
      <x:c r="K6" s="24" t="str">
        <x:v>Без НДС</x:v>
      </x:c>
      <x:c r="L6" s="24" t="str">
        <x:v>Прямые</x:v>
      </x:c>
      <x:c r="M6" s="24" t="str">
        <x:v>Эквайринг</x:v>
      </x:c>
      <x:c r="N6" s="24" t="str">
        <x:v>Постоянные</x:v>
      </x:c>
      <x:c r="O6" s="24" t="str">
        <x:v>Налог</x:v>
      </x:c>
      <x:c r="P6" s="24" t="str">
        <x:v>Обновление</x:v>
      </x:c>
      <x:c r="Q6" s="24" t="str">
        <x:v>EBITDA</x:v>
      </x:c>
      <x:c r="R6" s="1" t="str">
        <x:v>Поток</x:v>
      </x:c>
      <x:c r="S6" s="1" t="str">
        <x:v>Накопленный</x:v>
      </x:c>
      <x:c r="T6" s="1" t="str">
        <x:v>Окуп. мес</x:v>
      </x:c>
      <x:c r="U6" s="1" t="str">
        <x:v>Дети/час сред.</x:v>
      </x:c>
      <x:c r="V6" s="1"/>
      <x:c r="W6" s="1"/>
    </x:row>
    <x:row r="7" ht="23" customHeight="1">
      <x:c r="A7" s="1" t="n">
        <x:v>1</x:v>
      </x:c>
      <x:c r="B7" s="17" t="n">
        <x:f>'Допущения'!C42*'Допущения'!D42</x:f>
        <x:v>0.5033898305084746</x:v>
      </x:c>
      <x:c r="C7" s="9" t="n">
        <x:f>'Допущения'!C31*'Допущения'!$B$8*'Допущения'!D31*$B7*(1+'Допущения'!$B$13)^0</x:f>
        <x:v>436718.3644067797</x:v>
      </x:c>
      <x:c r="D7" s="9" t="n">
        <x:f>'Допущения'!C32*'Допущения'!$B$8*'Допущения'!D32*$B7*(1+'Допущения'!$B$13)^0</x:f>
        <x:v>18812.48338983051</x:v>
      </x:c>
      <x:c r="E7" s="9" t="n">
        <x:f>'Допущения'!C33*'Допущения'!$B$8*'Допущения'!D33*$B7*(1+'Допущения'!$B$13)^0</x:f>
        <x:v>70546.8127118644</x:v>
      </x:c>
      <x:c r="F7" s="9" t="n">
        <x:f>'Допущения'!C34*'Допущения'!$B$8*'Допущения'!D34*$B7*(1+'Допущения'!$B$13)^0</x:f>
        <x:v>70920.07627118647</x:v>
      </x:c>
      <x:c r="G7" s="9" t="n">
        <x:f>'Допущения'!C35*'Допущения'!$B$8*'Допущения'!D35*$B7*(1+'Допущения'!$B$13)^0</x:f>
        <x:v>112874.90033898306</x:v>
      </x:c>
      <x:c r="H7" s="9" t="n">
        <x:f>'Допущения'!C36*'Допущения'!$B$8*'Допущения'!D36*$B7*(1+'Допущения'!$B$13)^0</x:f>
        <x:v>10451.379661016952</x:v>
      </x:c>
      <x:c r="I7" s="9" t="n">
        <x:f>'Допущения'!C37*'Допущения'!$B$8*'Допущения'!D37*$B7*(1+'Допущения'!$B$13)^0</x:f>
        <x:v>0</x:v>
      </x:c>
      <x:c r="J7" s="7" t="n">
        <x:f>SUM(C7:I7)</x:f>
        <x:v>720324.0167796611</x:v>
      </x:c>
      <x:c r="K7" s="9" t="n">
        <x:f>J7/(1+'Допущения'!$B$9)</x:f>
        <x:v>686022.8731234866</x:v>
      </x:c>
      <x:c r="L7" s="9" t="n">
        <x:f>C7/(1+'Допущения'!$B$9)*'Допущения'!E31+'Допущения'!C31*'Допущения'!$B$8*$B7*'Допущения'!F31*(1+'Допущения'!$B$14)^0+D7/(1+'Допущения'!$B$9)*'Допущения'!E32+'Допущения'!C32*'Допущения'!$B$8*$B7*'Допущения'!F32*(1+'Допущения'!$B$14)^0+E7/(1+'Допущения'!$B$9)*'Допущения'!E33+'Допущения'!C33*'Допущения'!$B$8*$B7*'Допущения'!F33*(1+'Допущения'!$B$14)^0+F7/(1+'Допущения'!$B$9)*'Допущения'!E34+'Допущения'!C34*'Допущения'!$B$8*$B7*'Допущения'!F34*(1+'Допущения'!$B$14)^0+G7/(1+'Допущения'!$B$9)*'Допущения'!E35+'Допущения'!C35*'Допущения'!$B$8*$B7*'Допущения'!F35*(1+'Допущения'!$B$14)^0+H7/(1+'Допущения'!$B$9)*'Допущения'!E36+'Допущения'!C36*'Допущения'!$B$8*$B7*'Допущения'!F36*(1+'Допущения'!$B$14)^0+I7/(1+'Допущения'!$B$9)*'Допущения'!E37+'Допущения'!C37*'Допущения'!$B$8*$B7*'Допущения'!F37*(1+'Допущения'!$B$14)^0</x:f>
        <x:v>80148.5734140436</x:v>
      </x:c>
      <x:c r="M7" s="9" t="n">
        <x:f>J7*'Допущения'!$B$11</x:f>
        <x:v>14406.480335593222</x:v>
      </x:c>
      <x:c r="N7" s="9" t="n">
        <x:f>'Инвестиции'!$C$35*(1+'Допущения'!$B$14)^0</x:f>
        <x:v>553529.5433333333</x:v>
      </x:c>
      <x:c r="O7" s="9" t="n">
        <x:f>K7*'Допущения'!$B$10</x:f>
        <x:v>41161.372387409196</x:v>
      </x:c>
      <x:c r="P7" s="9" t="n">
        <x:f>K7*'Допущения'!$B$12</x:f>
        <x:v>13720.457462469732</x:v>
      </x:c>
      <x:c r="Q7" s="7" t="n">
        <x:f>K7-L7-M7-N7</x:f>
        <x:v>37938.276040516444</x:v>
      </x:c>
      <x:c r="R7" s="7" t="n">
        <x:f>Q7-O7-P7</x:f>
        <x:v>-16943.553809362485</x:v>
      </x:c>
      <x:c r="S7" s="9" t="n">
        <x:f>R7-'Инвестиции'!C21</x:f>
        <x:v>-6882490.263809362</x:v>
      </x:c>
      <x:c r="T7" s="7" t="n">
        <x:f>IF(S7&gt;=0,A7,999)</x:f>
        <x:v>999</x:v>
      </x:c>
      <x:c r="U7" s="22" t="n">
        <x:f>'Допущения'!C31*'Допущения'!$B$8*B7*'Допущения'!$B$17/'Допущения'!$B$18/'Допущения'!$B$16</x:f>
        <x:v>3.0539745762711874</x:v>
      </x:c>
      <x:c r="V7" s="7"/>
      <x:c r="W7" s="7"/>
    </x:row>
    <x:row r="8" ht="23" customHeight="1">
      <x:c r="A8" s="1" t="n">
        <x:v>2</x:v>
      </x:c>
      <x:c r="B8" s="17" t="n">
        <x:f>'Допущения'!C43*'Допущения'!D43</x:f>
        <x:v>0.5872881355932205</x:v>
      </x:c>
      <x:c r="C8" s="9" t="n">
        <x:f>'Допущения'!C31*'Допущения'!$B$8*'Допущения'!D31*$B8*(1+'Допущения'!$B$13)^0</x:f>
        <x:v>509504.7584745764</x:v>
      </x:c>
      <x:c r="D8" s="9" t="n">
        <x:f>'Допущения'!C32*'Допущения'!$B$8*'Допущения'!D32*$B8*(1+'Допущения'!$B$13)^0</x:f>
        <x:v>21947.8972881356</x:v>
      </x:c>
      <x:c r="E8" s="9" t="n">
        <x:f>'Допущения'!C33*'Допущения'!$B$8*'Допущения'!D33*$B8*(1+'Допущения'!$B$13)^0</x:f>
        <x:v>82304.61483050848</x:v>
      </x:c>
      <x:c r="F8" s="9" t="n">
        <x:f>'Допущения'!C34*'Допущения'!$B$8*'Допущения'!D34*$B8*(1+'Допущения'!$B$13)^0</x:f>
        <x:v>82740.08898305088</x:v>
      </x:c>
      <x:c r="G8" s="9" t="n">
        <x:f>'Допущения'!C35*'Допущения'!$B$8*'Допущения'!D35*$B8*(1+'Допущения'!$B$13)^0</x:f>
        <x:v>131687.38372881358</x:v>
      </x:c>
      <x:c r="H8" s="9" t="n">
        <x:f>'Допущения'!C36*'Допущения'!$B$8*'Допущения'!D36*$B8*(1+'Допущения'!$B$13)^0</x:f>
        <x:v>12193.276271186445</x:v>
      </x:c>
      <x:c r="I8" s="9" t="n">
        <x:f>'Допущения'!C37*'Допущения'!$B$8*'Допущения'!D37*$B8*(1+'Допущения'!$B$13)^0</x:f>
        <x:v>0</x:v>
      </x:c>
      <x:c r="J8" s="7" t="n">
        <x:f>SUM(C8:I8)</x:f>
        <x:v>840378.0195762714</x:v>
      </x:c>
      <x:c r="K8" s="9" t="n">
        <x:f>J8/(1+'Допущения'!$B$9)</x:f>
        <x:v>800360.0186440679</x:v>
      </x:c>
      <x:c r="L8" s="9" t="n">
        <x:f>C8/(1+'Допущения'!$B$9)*'Допущения'!E31+'Допущения'!C31*'Допущения'!$B$8*$B8*'Допущения'!F31*(1+'Допущения'!$B$14)^0+D8/(1+'Допущения'!$B$9)*'Допущения'!E32+'Допущения'!C32*'Допущения'!$B$8*$B8*'Допущения'!F32*(1+'Допущения'!$B$14)^0+E8/(1+'Допущения'!$B$9)*'Допущения'!E33+'Допущения'!C33*'Допущения'!$B$8*$B8*'Допущения'!F33*(1+'Допущения'!$B$14)^0+F8/(1+'Допущения'!$B$9)*'Допущения'!E34+'Допущения'!C34*'Допущения'!$B$8*$B8*'Допущения'!F34*(1+'Допущения'!$B$14)^0+G8/(1+'Допущения'!$B$9)*'Допущения'!E35+'Допущения'!C35*'Допущения'!$B$8*$B8*'Допущения'!F35*(1+'Допущения'!$B$14)^0+H8/(1+'Допущения'!$B$9)*'Допущения'!E36+'Допущения'!C36*'Допущения'!$B$8*$B8*'Допущения'!F36*(1+'Допущения'!$B$14)^0+I8/(1+'Допущения'!$B$9)*'Допущения'!E37+'Допущения'!C37*'Допущения'!$B$8*$B8*'Допущения'!F37*(1+'Допущения'!$B$14)^0</x:f>
        <x:v>93506.66898305085</x:v>
      </x:c>
      <x:c r="M8" s="9" t="n">
        <x:f>J8*'Допущения'!$B$11</x:f>
        <x:v>16807.56039152543</x:v>
      </x:c>
      <x:c r="N8" s="9" t="n">
        <x:f>'Инвестиции'!$C$35*(1+'Допущения'!$B$14)^0</x:f>
        <x:v>553529.5433333333</x:v>
      </x:c>
      <x:c r="O8" s="9" t="n">
        <x:f>K8*'Допущения'!$B$10</x:f>
        <x:v>48021.601118644074</x:v>
      </x:c>
      <x:c r="P8" s="9" t="n">
        <x:f>K8*'Допущения'!$B$12</x:f>
        <x:v>16007.20037288136</x:v>
      </x:c>
      <x:c r="Q8" s="7" t="n">
        <x:f>K8-L8-M8-N8</x:f>
        <x:v>136516.24593615835</x:v>
      </x:c>
      <x:c r="R8" s="7" t="n">
        <x:f>Q8-O8-P8</x:f>
        <x:v>72487.44444463291</x:v>
      </x:c>
      <x:c r="S8" s="7" t="n">
        <x:f>S7+R8</x:f>
        <x:v>-6810002.819364729</x:v>
      </x:c>
      <x:c r="T8" s="7" t="n">
        <x:f>IF(S8&gt;=0,A8,999)</x:f>
        <x:v>999</x:v>
      </x:c>
      <x:c r="U8" s="22" t="n">
        <x:f>'Допущения'!C31*'Допущения'!$B$8*B8*'Допущения'!$B$17/'Допущения'!$B$18/'Допущения'!$B$16</x:f>
        <x:v>3.5629703389830523</x:v>
      </x:c>
      <x:c r="V8" s="7"/>
      <x:c r="W8" s="7"/>
    </x:row>
    <x:row r="9" ht="23" customHeight="1">
      <x:c r="A9" s="1" t="n">
        <x:v>3</x:v>
      </x:c>
      <x:c r="B9" s="17" t="n">
        <x:f>'Допущения'!C44*'Допущения'!D44</x:f>
        <x:v>0.6610169491525424</x:v>
      </x:c>
      <x:c r="C9" s="9" t="n">
        <x:f>'Допущения'!C31*'Допущения'!$B$8*'Допущения'!D31*$B9*(1+'Допущения'!$B$13)^0</x:f>
        <x:v>573468.5593220339</x:v>
      </x:c>
      <x:c r="D9" s="9" t="n">
        <x:f>'Допущения'!C32*'Допущения'!$B$8*'Допущения'!D32*$B9*(1+'Допущения'!$B$13)^0</x:f>
        <x:v>24703.261016949153</x:v>
      </x:c>
      <x:c r="E9" s="9" t="n">
        <x:f>'Допущения'!C33*'Допущения'!$B$8*'Допущения'!D33*$B9*(1+'Допущения'!$B$13)^0</x:f>
        <x:v>92637.22881355931</x:v>
      </x:c>
      <x:c r="F9" s="9" t="n">
        <x:f>'Допущения'!C34*'Допущения'!$B$8*'Допущения'!D34*$B9*(1+'Допущения'!$B$13)^0</x:f>
        <x:v>93127.37288135596</x:v>
      </x:c>
      <x:c r="G9" s="9" t="n">
        <x:f>'Допущения'!C35*'Допущения'!$B$8*'Допущения'!D35*$B9*(1+'Допущения'!$B$13)^0</x:f>
        <x:v>148219.56610169492</x:v>
      </x:c>
      <x:c r="H9" s="9" t="n">
        <x:f>'Допущения'!C36*'Допущения'!$B$8*'Допущения'!D36*$B9*(1+'Допущения'!$B$13)^0</x:f>
        <x:v>13724.033898305088</x:v>
      </x:c>
      <x:c r="I9" s="9" t="n">
        <x:f>'Допущения'!C37*'Допущения'!$B$8*'Допущения'!D37*$B9*(1+'Допущения'!$B$13)^0</x:f>
        <x:v>0</x:v>
      </x:c>
      <x:c r="J9" s="7" t="n">
        <x:f>SUM(C9:I9)</x:f>
        <x:v>945880.0220338983</x:v>
      </x:c>
      <x:c r="K9" s="9" t="n">
        <x:f>J9/(1+'Допущения'!$B$9)</x:f>
        <x:v>900838.1162227602</x:v>
      </x:c>
      <x:c r="L9" s="9" t="n">
        <x:f>C9/(1+'Допущения'!$B$9)*'Допущения'!E31+'Допущения'!C31*'Допущения'!$B$8*$B9*'Допущения'!F31*(1+'Допущения'!$B$14)^0+D9/(1+'Допущения'!$B$9)*'Допущения'!E32+'Допущения'!C32*'Допущения'!$B$8*$B9*'Допущения'!F32*(1+'Допущения'!$B$14)^0+E9/(1+'Допущения'!$B$9)*'Допущения'!E33+'Допущения'!C33*'Допущения'!$B$8*$B9*'Допущения'!F33*(1+'Допущения'!$B$14)^0+F9/(1+'Допущения'!$B$9)*'Допущения'!E34+'Допущения'!C34*'Допущения'!$B$8*$B9*'Допущения'!F34*(1+'Допущения'!$B$14)^0+G9/(1+'Допущения'!$B$9)*'Допущения'!E35+'Допущения'!C35*'Допущения'!$B$8*$B9*'Допущения'!F35*(1+'Допущения'!$B$14)^0+H9/(1+'Допущения'!$B$9)*'Допущения'!E36+'Допущения'!C36*'Допущения'!$B$8*$B9*'Допущения'!F36*(1+'Допущения'!$B$14)^0+I9/(1+'Допущения'!$B$9)*'Допущения'!E37+'Допущения'!C37*'Допущения'!$B$8*$B9*'Допущения'!F37*(1+'Допущения'!$B$14)^0</x:f>
        <x:v>105245.60145278451</x:v>
      </x:c>
      <x:c r="M9" s="9" t="n">
        <x:f>J9*'Допущения'!$B$11</x:f>
        <x:v>18917.600440677965</x:v>
      </x:c>
      <x:c r="N9" s="9" t="n">
        <x:f>'Инвестиции'!$C$35*(1+'Допущения'!$B$14)^0</x:f>
        <x:v>553529.5433333333</x:v>
      </x:c>
      <x:c r="O9" s="9" t="n">
        <x:f>K9*'Допущения'!$B$10</x:f>
        <x:v>54050.28697336561</x:v>
      </x:c>
      <x:c r="P9" s="9" t="n">
        <x:f>K9*'Допущения'!$B$12</x:f>
        <x:v>18016.762324455205</x:v>
      </x:c>
      <x:c r="Q9" s="7" t="n">
        <x:f>K9-L9-M9-N9</x:f>
        <x:v>223145.3709959644</x:v>
      </x:c>
      <x:c r="R9" s="7" t="n">
        <x:f>Q9-O9-P9</x:f>
        <x:v>151078.32169814358</x:v>
      </x:c>
      <x:c r="S9" s="7" t="n">
        <x:f>S8+R9</x:f>
        <x:v>-6658924.497666586</x:v>
      </x:c>
      <x:c r="T9" s="7" t="n">
        <x:f>IF(S9&gt;=0,A9,999)</x:f>
        <x:v>999</x:v>
      </x:c>
      <x:c r="U9" s="22" t="n">
        <x:f>'Допущения'!C31*'Допущения'!$B$8*B9*'Допущения'!$B$17/'Допущения'!$B$18/'Допущения'!$B$16</x:f>
        <x:v>4.010269645608629</x:v>
      </x:c>
      <x:c r="V9" s="7"/>
      <x:c r="W9" s="7"/>
    </x:row>
    <x:row r="10" ht="23" customHeight="1">
      <x:c r="A10" s="1" t="n">
        <x:v>4</x:v>
      </x:c>
      <x:c r="B10" s="17" t="n">
        <x:f>'Допущения'!C45*'Допущения'!D45</x:f>
        <x:v>0.6864406779661016</x:v>
      </x:c>
      <x:c r="C10" s="9" t="n">
        <x:f>'Допущения'!C31*'Допущения'!$B$8*'Допущения'!D31*$B10*(1+'Допущения'!$B$13)^0</x:f>
        <x:v>595525.0423728813</x:v>
      </x:c>
      <x:c r="D10" s="9" t="n">
        <x:f>'Допущения'!C32*'Допущения'!$B$8*'Допущения'!D32*$B10*(1+'Допущения'!$B$13)^0</x:f>
        <x:v>25653.386440677965</x:v>
      </x:c>
      <x:c r="E10" s="9" t="n">
        <x:f>'Допущения'!C33*'Допущения'!$B$8*'Допущения'!D33*$B10*(1+'Допущения'!$B$13)^0</x:f>
        <x:v>96200.19915254235</x:v>
      </x:c>
      <x:c r="F10" s="9" t="n">
        <x:f>'Допущения'!C34*'Допущения'!$B$8*'Допущения'!D34*$B10*(1+'Допущения'!$B$13)^0</x:f>
        <x:v>96709.19491525425</x:v>
      </x:c>
      <x:c r="G10" s="9" t="n">
        <x:f>'Допущения'!C35*'Допущения'!$B$8*'Допущения'!D35*$B10*(1+'Допущения'!$B$13)^0</x:f>
        <x:v>153920.3186440678</x:v>
      </x:c>
      <x:c r="H10" s="9" t="n">
        <x:f>'Допущения'!C36*'Допущения'!$B$8*'Допущения'!D36*$B10*(1+'Допущения'!$B$13)^0</x:f>
        <x:v>14251.881355932204</x:v>
      </x:c>
      <x:c r="I10" s="9" t="n">
        <x:f>'Допущения'!C37*'Допущения'!$B$8*'Допущения'!D37*$B10*(1+'Допущения'!$B$13)^0</x:f>
        <x:v>0</x:v>
      </x:c>
      <x:c r="J10" s="7" t="n">
        <x:f>SUM(C10:I10)</x:f>
        <x:v>982260.0228813558</x:v>
      </x:c>
      <x:c r="K10" s="9" t="n">
        <x:f>J10/(1+'Допущения'!$B$9)</x:f>
        <x:v>935485.7360774818</x:v>
      </x:c>
      <x:c r="L10" s="9" t="n">
        <x:f>C10/(1+'Допущения'!$B$9)*'Допущения'!E31+'Допущения'!C31*'Допущения'!$B$8*$B10*'Допущения'!F31*(1+'Допущения'!$B$14)^0+D10/(1+'Допущения'!$B$9)*'Допущения'!E32+'Допущения'!C32*'Допущения'!$B$8*$B10*'Допущения'!F32*(1+'Допущения'!$B$14)^0+E10/(1+'Допущения'!$B$9)*'Допущения'!E33+'Допущения'!C33*'Допущения'!$B$8*$B10*'Допущения'!F33*(1+'Допущения'!$B$14)^0+F10/(1+'Допущения'!$B$9)*'Допущения'!E34+'Допущения'!C34*'Допущения'!$B$8*$B10*'Допущения'!F34*(1+'Допущения'!$B$14)^0+G10/(1+'Допущения'!$B$9)*'Допущения'!E35+'Допущения'!C35*'Допущения'!$B$8*$B10*'Допущения'!F35*(1+'Допущения'!$B$14)^0+H10/(1+'Допущения'!$B$9)*'Допущения'!E36+'Допущения'!C36*'Допущения'!$B$8*$B10*'Допущения'!F36*(1+'Допущения'!$B$14)^0+I10/(1+'Допущения'!$B$9)*'Допущения'!E37+'Допущения'!C37*'Допущения'!$B$8*$B10*'Допущения'!F37*(1+'Допущения'!$B$14)^0</x:f>
        <x:v>109293.50920096852</x:v>
      </x:c>
      <x:c r="M10" s="9" t="n">
        <x:f>J10*'Допущения'!$B$11</x:f>
        <x:v>19645.200457627117</x:v>
      </x:c>
      <x:c r="N10" s="9" t="n">
        <x:f>'Инвестиции'!$C$35*(1+'Допущения'!$B$14)^0</x:f>
        <x:v>553529.5433333333</x:v>
      </x:c>
      <x:c r="O10" s="9" t="n">
        <x:f>K10*'Допущения'!$B$10</x:f>
        <x:v>56129.144164648904</x:v>
      </x:c>
      <x:c r="P10" s="9" t="n">
        <x:f>K10*'Допущения'!$B$12</x:f>
        <x:v>18709.714721549637</x:v>
      </x:c>
      <x:c r="Q10" s="7" t="n">
        <x:f>K10-L10-M10-N10</x:f>
        <x:v>253017.4830855528</x:v>
      </x:c>
      <x:c r="R10" s="7" t="n">
        <x:f>Q10-O10-P10</x:f>
        <x:v>178178.62419935426</x:v>
      </x:c>
      <x:c r="S10" s="7" t="n">
        <x:f>S9+R10</x:f>
        <x:v>-6480745.873467232</x:v>
      </x:c>
      <x:c r="T10" s="7" t="n">
        <x:f>IF(S10&gt;=0,A10,999)</x:f>
        <x:v>999</x:v>
      </x:c>
      <x:c r="U10" s="22" t="n">
        <x:f>'Допущения'!C31*'Допущения'!$B$8*B10*'Допущения'!$B$17/'Допущения'!$B$18/'Допущения'!$B$16</x:f>
        <x:v>4.164510785824345</x:v>
      </x:c>
      <x:c r="V10" s="7"/>
      <x:c r="W10" s="7"/>
    </x:row>
    <x:row r="11" ht="23" customHeight="1">
      <x:c r="A11" s="1" t="n">
        <x:v>5</x:v>
      </x:c>
      <x:c r="B11" s="17" t="n">
        <x:f>'Допущения'!C46*'Допущения'!D46</x:f>
        <x:v>0.7347457627118643</x:v>
      </x:c>
      <x:c r="C11" s="9" t="n">
        <x:f>'Допущения'!C31*'Допущения'!$B$8*'Допущения'!D31*$B11*(1+'Допущения'!$B$13)^0</x:f>
        <x:v>637432.3601694915</x:v>
      </x:c>
      <x:c r="D11" s="9" t="n">
        <x:f>'Допущения'!C32*'Допущения'!$B$8*'Допущения'!D32*$B11*(1+'Допущения'!$B$13)^0</x:f>
        <x:v>27458.624745762707</x:v>
      </x:c>
      <x:c r="E11" s="9" t="n">
        <x:f>'Допущения'!C33*'Допущения'!$B$8*'Допущения'!D33*$B11*(1+'Допущения'!$B$13)^0</x:f>
        <x:v>102969.84279661013</x:v>
      </x:c>
      <x:c r="F11" s="9" t="n">
        <x:f>'Допущения'!C34*'Допущения'!$B$8*'Допущения'!D34*$B11*(1+'Допущения'!$B$13)^0</x:f>
        <x:v>103514.65677966103</x:v>
      </x:c>
      <x:c r="G11" s="9" t="n">
        <x:f>'Допущения'!C35*'Допущения'!$B$8*'Допущения'!D35*$B11*(1+'Допущения'!$B$13)^0</x:f>
        <x:v>164751.74847457625</x:v>
      </x:c>
      <x:c r="H11" s="9" t="n">
        <x:f>'Допущения'!C36*'Допущения'!$B$8*'Допущения'!D36*$B11*(1+'Допущения'!$B$13)^0</x:f>
        <x:v>15254.791525423729</x:v>
      </x:c>
      <x:c r="I11" s="9" t="n">
        <x:f>'Допущения'!C37*'Допущения'!$B$8*'Допущения'!D37*$B11*(1+'Допущения'!$B$13)^0</x:f>
        <x:v>0</x:v>
      </x:c>
      <x:c r="J11" s="7" t="n">
        <x:f>SUM(C11:I11)</x:f>
        <x:v>1051382.0244915253</x:v>
      </x:c>
      <x:c r="K11" s="9" t="n">
        <x:f>J11/(1+'Допущения'!$B$9)</x:f>
        <x:v>1001316.2138014525</x:v>
      </x:c>
      <x:c r="L11" s="9" t="n">
        <x:f>C11/(1+'Допущения'!$B$9)*'Допущения'!E31+'Допущения'!C31*'Допущения'!$B$8*$B11*'Допущения'!F31*(1+'Допущения'!$B$14)^0+D11/(1+'Допущения'!$B$9)*'Допущения'!E32+'Допущения'!C32*'Допущения'!$B$8*$B11*'Допущения'!F32*(1+'Допущения'!$B$14)^0+E11/(1+'Допущения'!$B$9)*'Допущения'!E33+'Допущения'!C33*'Допущения'!$B$8*$B11*'Допущения'!F33*(1+'Допущения'!$B$14)^0+F11/(1+'Допущения'!$B$9)*'Допущения'!E34+'Допущения'!C34*'Допущения'!$B$8*$B11*'Допущения'!F34*(1+'Допущения'!$B$14)^0+G11/(1+'Допущения'!$B$9)*'Допущения'!E35+'Допущения'!C35*'Допущения'!$B$8*$B11*'Допущения'!F35*(1+'Допущения'!$B$14)^0+H11/(1+'Допущения'!$B$9)*'Допущения'!E36+'Допущения'!C36*'Допущения'!$B$8*$B11*'Допущения'!F36*(1+'Допущения'!$B$14)^0+I11/(1+'Допущения'!$B$9)*'Допущения'!E37+'Допущения'!C37*'Допущения'!$B$8*$B11*'Допущения'!F37*(1+'Допущения'!$B$14)^0</x:f>
        <x:v>116984.53392251814</x:v>
      </x:c>
      <x:c r="M11" s="9" t="n">
        <x:f>J11*'Допущения'!$B$11</x:f>
        <x:v>21027.640489830505</x:v>
      </x:c>
      <x:c r="N11" s="9" t="n">
        <x:f>'Инвестиции'!$C$35*(1+'Допущения'!$B$14)^0</x:f>
        <x:v>553529.5433333333</x:v>
      </x:c>
      <x:c r="O11" s="9" t="n">
        <x:f>K11*'Допущения'!$B$10</x:f>
        <x:v>60078.97282808715</x:v>
      </x:c>
      <x:c r="P11" s="9" t="n">
        <x:f>K11*'Допущения'!$B$12</x:f>
        <x:v>20026.324276029052</x:v>
      </x:c>
      <x:c r="Q11" s="7" t="n">
        <x:f>K11-L11-M11-N11</x:f>
        <x:v>309774.49605577055</x:v>
      </x:c>
      <x:c r="R11" s="7" t="n">
        <x:f>Q11-O11-P11</x:f>
        <x:v>229669.19895165434</x:v>
      </x:c>
      <x:c r="S11" s="7" t="n">
        <x:f>S10+R11</x:f>
        <x:v>-6251076.674515578</x:v>
      </x:c>
      <x:c r="T11" s="7" t="n">
        <x:f>IF(S11&gt;=0,A11,999)</x:f>
        <x:v>999</x:v>
      </x:c>
      <x:c r="U11" s="22" t="n">
        <x:f>'Допущения'!C31*'Допущения'!$B$8*B11*'Допущения'!$B$17/'Допущения'!$B$18/'Допущения'!$B$16</x:f>
        <x:v>4.457568952234206</x:v>
      </x:c>
      <x:c r="V11" s="7"/>
      <x:c r="W11" s="7"/>
    </x:row>
    <x:row r="12" ht="23" customHeight="1">
      <x:c r="A12" s="1" t="n">
        <x:v>6</x:v>
      </x:c>
      <x:c r="B12" s="17" t="n">
        <x:f>'Допущения'!C47*'Допущения'!D47</x:f>
        <x:v>0.6406779661016948</x:v>
      </x:c>
      <x:c r="C12" s="9" t="n">
        <x:f>'Допущения'!C31*'Допущения'!$B$8*'Допущения'!D31*$B12*(1+'Допущения'!$B$13)^0</x:f>
        <x:v>555823.3728813558</x:v>
      </x:c>
      <x:c r="D12" s="9" t="n">
        <x:f>'Допущения'!C32*'Допущения'!$B$8*'Допущения'!D32*$B12*(1+'Допущения'!$B$13)^0</x:f>
        <x:v>23943.160677966098</x:v>
      </x:c>
      <x:c r="E12" s="9" t="n">
        <x:f>'Допущения'!C33*'Допущения'!$B$8*'Допущения'!D33*$B12*(1+'Допущения'!$B$13)^0</x:f>
        <x:v>89786.85254237284</x:v>
      </x:c>
      <x:c r="F12" s="9" t="n">
        <x:f>'Допущения'!C34*'Допущения'!$B$8*'Допущения'!D34*$B12*(1+'Допущения'!$B$13)^0</x:f>
        <x:v>90261.91525423729</x:v>
      </x:c>
      <x:c r="G12" s="9" t="n">
        <x:f>'Допущения'!C35*'Допущения'!$B$8*'Допущения'!D35*$B12*(1+'Допущения'!$B$13)^0</x:f>
        <x:v>143658.9640677966</x:v>
      </x:c>
      <x:c r="H12" s="9" t="n">
        <x:f>'Допущения'!C36*'Допущения'!$B$8*'Допущения'!D36*$B12*(1+'Допущения'!$B$13)^0</x:f>
        <x:v>13301.75593220339</x:v>
      </x:c>
      <x:c r="I12" s="9" t="n">
        <x:f>'Допущения'!C37*'Допущения'!$B$8*'Допущения'!D37*$B12*(1+'Допущения'!$B$13)^0</x:f>
        <x:v>0</x:v>
      </x:c>
      <x:c r="J12" s="7" t="n">
        <x:f>SUM(C12:I12)</x:f>
        <x:v>916776.021355932</x:v>
      </x:c>
      <x:c r="K12" s="9" t="n">
        <x:f>J12/(1+'Допущения'!$B$9)</x:f>
        <x:v>873120.0203389828</x:v>
      </x:c>
      <x:c r="L12" s="9" t="n">
        <x:f>C12/(1+'Допущения'!$B$9)*'Допущения'!E31+'Допущения'!C31*'Допущения'!$B$8*$B12*'Допущения'!F31*(1+'Допущения'!$B$14)^0+D12/(1+'Допущения'!$B$9)*'Допущения'!E32+'Допущения'!C32*'Допущения'!$B$8*$B12*'Допущения'!F32*(1+'Допущения'!$B$14)^0+E12/(1+'Допущения'!$B$9)*'Допущения'!E33+'Допущения'!C33*'Допущения'!$B$8*$B12*'Допущения'!F33*(1+'Допущения'!$B$14)^0+F12/(1+'Допущения'!$B$9)*'Допущения'!E34+'Допущения'!C34*'Допущения'!$B$8*$B12*'Допущения'!F34*(1+'Допущения'!$B$14)^0+G12/(1+'Допущения'!$B$9)*'Допущения'!E35+'Допущения'!C35*'Допущения'!$B$8*$B12*'Допущения'!F35*(1+'Допущения'!$B$14)^0+H12/(1+'Допущения'!$B$9)*'Допущения'!E36+'Допущения'!C36*'Допущения'!$B$8*$B12*'Допущения'!F36*(1+'Допущения'!$B$14)^0+I12/(1+'Допущения'!$B$9)*'Допущения'!E37+'Допущения'!C37*'Допущения'!$B$8*$B12*'Допущения'!F37*(1+'Допущения'!$B$14)^0</x:f>
        <x:v>102007.27525423726</x:v>
      </x:c>
      <x:c r="M12" s="9" t="n">
        <x:f>J12*'Допущения'!$B$11</x:f>
        <x:v>18335.52042711864</x:v>
      </x:c>
      <x:c r="N12" s="9" t="n">
        <x:f>'Инвестиции'!$C$35*(1+'Допущения'!$B$14)^0</x:f>
        <x:v>553529.5433333333</x:v>
      </x:c>
      <x:c r="O12" s="9" t="n">
        <x:f>K12*'Допущения'!$B$10</x:f>
        <x:v>52387.20122033897</x:v>
      </x:c>
      <x:c r="P12" s="9" t="n">
        <x:f>K12*'Допущения'!$B$12</x:f>
        <x:v>17462.400406779656</x:v>
      </x:c>
      <x:c r="Q12" s="7" t="n">
        <x:f>K12-L12-M12-N12</x:f>
        <x:v>199247.6813242936</x:v>
      </x:c>
      <x:c r="R12" s="7" t="n">
        <x:f>Q12-O12-P12</x:f>
        <x:v>129398.07969717498</x:v>
      </x:c>
      <x:c r="S12" s="7" t="n">
        <x:f>S11+R12</x:f>
        <x:v>-6121678.594818403</x:v>
      </x:c>
      <x:c r="T12" s="7" t="n">
        <x:f>IF(S12&gt;=0,A12,999)</x:f>
        <x:v>999</x:v>
      </x:c>
      <x:c r="U12" s="22" t="n">
        <x:f>'Допущения'!C31*'Допущения'!$B$8*B12*'Допущения'!$B$17/'Допущения'!$B$18/'Допущения'!$B$16</x:f>
        <x:v>3.8868767334360554</x:v>
      </x:c>
      <x:c r="V12" s="7"/>
      <x:c r="W12" s="7"/>
    </x:row>
    <x:row r="13" ht="23" customHeight="1">
      <x:c r="A13" s="1" t="n">
        <x:v>7</x:v>
      </x:c>
      <x:c r="B13" s="17" t="n">
        <x:f>'Допущения'!C48*'Допущения'!D48</x:f>
        <x:v>0.7245762711864406</x:v>
      </x:c>
      <x:c r="C13" s="9" t="n">
        <x:f>'Допущения'!C31*'Допущения'!$B$8*'Допущения'!D31*$B13*(1+'Допущения'!$B$13)^0</x:f>
        <x:v>628609.7669491525</x:v>
      </x:c>
      <x:c r="D13" s="9" t="n">
        <x:f>'Допущения'!C32*'Допущения'!$B$8*'Допущения'!D32*$B13*(1+'Допущения'!$B$13)^0</x:f>
        <x:v>27078.574576271185</x:v>
      </x:c>
      <x:c r="E13" s="9" t="n">
        <x:f>'Допущения'!C33*'Допущения'!$B$8*'Допущения'!D33*$B13*(1+'Допущения'!$B$13)^0</x:f>
        <x:v>101544.65466101692</x:v>
      </x:c>
      <x:c r="F13" s="9" t="n">
        <x:f>'Допущения'!C34*'Допущения'!$B$8*'Допущения'!D34*$B13*(1+'Допущения'!$B$13)^0</x:f>
        <x:v>102081.9279661017</x:v>
      </x:c>
      <x:c r="G13" s="9" t="n">
        <x:f>'Допущения'!C35*'Допущения'!$B$8*'Допущения'!D35*$B13*(1+'Допущения'!$B$13)^0</x:f>
        <x:v>162471.4474576271</x:v>
      </x:c>
      <x:c r="H13" s="9" t="n">
        <x:f>'Допущения'!C36*'Допущения'!$B$8*'Допущения'!D36*$B13*(1+'Допущения'!$B$13)^0</x:f>
        <x:v>15043.652542372884</x:v>
      </x:c>
      <x:c r="I13" s="9" t="n">
        <x:f>'Допущения'!C37*'Допущения'!$B$8*'Допущения'!D37*$B13*(1+'Допущения'!$B$13)^0</x:f>
        <x:v>0</x:v>
      </x:c>
      <x:c r="J13" s="7" t="n">
        <x:f>SUM(C13:I13)</x:f>
        <x:v>1036830.0241525422</x:v>
      </x:c>
      <x:c r="K13" s="9" t="n">
        <x:f>J13/(1+'Допущения'!$B$9)</x:f>
        <x:v>987457.165859564</x:v>
      </x:c>
      <x:c r="L13" s="9" t="n">
        <x:f>C13/(1+'Допущения'!$B$9)*'Допущения'!E31+'Допущения'!C31*'Допущения'!$B$8*$B13*'Допущения'!F31*(1+'Допущения'!$B$14)^0+D13/(1+'Допущения'!$B$9)*'Допущения'!E32+'Допущения'!C32*'Допущения'!$B$8*$B13*'Допущения'!F32*(1+'Допущения'!$B$14)^0+E13/(1+'Допущения'!$B$9)*'Допущения'!E33+'Допущения'!C33*'Допущения'!$B$8*$B13*'Допущения'!F33*(1+'Допущения'!$B$14)^0+F13/(1+'Допущения'!$B$9)*'Допущения'!E34+'Допущения'!C34*'Допущения'!$B$8*$B13*'Допущения'!F34*(1+'Допущения'!$B$14)^0+G13/(1+'Допущения'!$B$9)*'Допущения'!E35+'Допущения'!C35*'Допущения'!$B$8*$B13*'Допущения'!F35*(1+'Допущения'!$B$14)^0+H13/(1+'Допущения'!$B$9)*'Допущения'!E36+'Допущения'!C36*'Допущения'!$B$8*$B13*'Допущения'!F36*(1+'Допущения'!$B$14)^0+I13/(1+'Допущения'!$B$9)*'Допущения'!E37+'Допущения'!C37*'Допущения'!$B$8*$B13*'Допущения'!F37*(1+'Допущения'!$B$14)^0</x:f>
        <x:v>115365.37082324454</x:v>
      </x:c>
      <x:c r="M13" s="9" t="n">
        <x:f>J13*'Допущения'!$B$11</x:f>
        <x:v>20736.600483050846</x:v>
      </x:c>
      <x:c r="N13" s="9" t="n">
        <x:f>'Инвестиции'!$C$35*(1+'Допущения'!$B$14)^0</x:f>
        <x:v>553529.5433333333</x:v>
      </x:c>
      <x:c r="O13" s="9" t="n">
        <x:f>K13*'Допущения'!$B$10</x:f>
        <x:v>59247.42995157384</x:v>
      </x:c>
      <x:c r="P13" s="9" t="n">
        <x:f>K13*'Допущения'!$B$12</x:f>
        <x:v>19749.14331719128</x:v>
      </x:c>
      <x:c r="Q13" s="7" t="n">
        <x:f>K13-L13-M13-N13</x:f>
        <x:v>297825.6512199353</x:v>
      </x:c>
      <x:c r="R13" s="7" t="n">
        <x:f>Q13-O13-P13</x:f>
        <x:v>218829.07795117015</x:v>
      </x:c>
      <x:c r="S13" s="7" t="n">
        <x:f>S12+R13</x:f>
        <x:v>-5902849.5168672325</x:v>
      </x:c>
      <x:c r="T13" s="7" t="n">
        <x:f>IF(S13&gt;=0,A13,999)</x:f>
        <x:v>999</x:v>
      </x:c>
      <x:c r="U13" s="22" t="n">
        <x:f>'Допущения'!C31*'Допущения'!$B$8*B13*'Допущения'!$B$17/'Допущения'!$B$18/'Допущения'!$B$16</x:f>
        <x:v>4.39587249614792</x:v>
      </x:c>
      <x:c r="V13" s="7"/>
      <x:c r="W13" s="7"/>
    </x:row>
    <x:row r="14" ht="23" customHeight="1">
      <x:c r="A14" s="1" t="n">
        <x:v>8</x:v>
      </x:c>
      <x:c r="B14" s="17" t="n">
        <x:f>'Допущения'!C49*'Допущения'!D49</x:f>
        <x:v>0.8135593220338982</x:v>
      </x:c>
      <x:c r="C14" s="9" t="n">
        <x:f>'Допущения'!C31*'Допущения'!$B$8*'Допущения'!D31*$B14*(1+'Допущения'!$B$13)^0</x:f>
        <x:v>705807.4576271186</x:v>
      </x:c>
      <x:c r="D14" s="9" t="n">
        <x:f>'Допущения'!C32*'Допущения'!$B$8*'Допущения'!D32*$B14*(1+'Допущения'!$B$13)^0</x:f>
        <x:v>30404.01355932203</x:v>
      </x:c>
      <x:c r="E14" s="9" t="n">
        <x:f>'Допущения'!C33*'Допущения'!$B$8*'Допущения'!D33*$B14*(1+'Допущения'!$B$13)^0</x:f>
        <x:v>114015.05084745759</x:v>
      </x:c>
      <x:c r="F14" s="9" t="n">
        <x:f>'Допущения'!C34*'Допущения'!$B$8*'Допущения'!D34*$B14*(1+'Допущения'!$B$13)^0</x:f>
        <x:v>114618.30508474578</x:v>
      </x:c>
      <x:c r="G14" s="9" t="n">
        <x:f>'Допущения'!C35*'Допущения'!$B$8*'Допущения'!D35*$B14*(1+'Допущения'!$B$13)^0</x:f>
        <x:v>182424.0813559322</x:v>
      </x:c>
      <x:c r="H14" s="9" t="n">
        <x:f>'Допущения'!C36*'Допущения'!$B$8*'Допущения'!D36*$B14*(1+'Допущения'!$B$13)^0</x:f>
        <x:v>16891.1186440678</x:v>
      </x:c>
      <x:c r="I14" s="9" t="n">
        <x:f>'Допущения'!C37*'Допущения'!$B$8*'Допущения'!D37*$B14*(1+'Допущения'!$B$13)^0</x:f>
        <x:v>0</x:v>
      </x:c>
      <x:c r="J14" s="7" t="n">
        <x:f>SUM(C14:I14)</x:f>
        <x:v>1164160.027118644</x:v>
      </x:c>
      <x:c r="K14" s="9" t="n">
        <x:f>J14/(1+'Допущения'!$B$9)</x:f>
        <x:v>1108723.8353510895</x:v>
      </x:c>
      <x:c r="L14" s="9" t="n">
        <x:f>C14/(1+'Допущения'!$B$9)*'Допущения'!E31+'Допущения'!C31*'Допущения'!$B$8*$B14*'Допущения'!F31*(1+'Допущения'!$B$14)^0+D14/(1+'Допущения'!$B$9)*'Допущения'!E32+'Допущения'!C32*'Допущения'!$B$8*$B14*'Допущения'!F32*(1+'Допущения'!$B$14)^0+E14/(1+'Допущения'!$B$9)*'Допущения'!E33+'Допущения'!C33*'Допущения'!$B$8*$B14*'Допущения'!F33*(1+'Допущения'!$B$14)^0+F14/(1+'Допущения'!$B$9)*'Допущения'!E34+'Допущения'!C34*'Допущения'!$B$8*$B14*'Допущения'!F34*(1+'Допущения'!$B$14)^0+G14/(1+'Допущения'!$B$9)*'Допущения'!E35+'Допущения'!C35*'Допущения'!$B$8*$B14*'Допущения'!F35*(1+'Допущения'!$B$14)^0+H14/(1+'Допущения'!$B$9)*'Допущения'!E36+'Допущения'!C36*'Допущения'!$B$8*$B14*'Допущения'!F36*(1+'Допущения'!$B$14)^0+I14/(1+'Допущения'!$B$9)*'Допущения'!E37+'Допущения'!C37*'Допущения'!$B$8*$B14*'Допущения'!F37*(1+'Допущения'!$B$14)^0</x:f>
        <x:v>129533.04794188861</x:v>
      </x:c>
      <x:c r="M14" s="9" t="n">
        <x:f>J14*'Допущения'!$B$11</x:f>
        <x:v>23283.20054237288</x:v>
      </x:c>
      <x:c r="N14" s="9" t="n">
        <x:f>'Инвестиции'!$C$35*(1+'Допущения'!$B$14)^0</x:f>
        <x:v>553529.5433333333</x:v>
      </x:c>
      <x:c r="O14" s="9" t="n">
        <x:f>K14*'Допущения'!$B$10</x:f>
        <x:v>66523.43012106536</x:v>
      </x:c>
      <x:c r="P14" s="9" t="n">
        <x:f>K14*'Допущения'!$B$12</x:f>
        <x:v>22174.47670702179</x:v>
      </x:c>
      <x:c r="Q14" s="7" t="n">
        <x:f>K14-L14-M14-N14</x:f>
        <x:v>402378.0435334947</x:v>
      </x:c>
      <x:c r="R14" s="7" t="n">
        <x:f>Q14-O14-P14</x:f>
        <x:v>313680.1367054076</x:v>
      </x:c>
      <x:c r="S14" s="7" t="n">
        <x:f>S13+R14</x:f>
        <x:v>-5589169.380161825</x:v>
      </x:c>
      <x:c r="T14" s="7" t="n">
        <x:f>IF(S14&gt;=0,A14,999)</x:f>
        <x:v>999</x:v>
      </x:c>
      <x:c r="U14" s="22" t="n">
        <x:f>'Допущения'!C31*'Допущения'!$B$8*B14*'Допущения'!$B$17/'Допущения'!$B$18/'Допущения'!$B$16</x:f>
        <x:v>4.935716486902928</x:v>
      </x:c>
      <x:c r="V14" s="7"/>
      <x:c r="W14" s="7"/>
    </x:row>
    <x:row r="15" ht="23" customHeight="1">
      <x:c r="A15" s="1" t="n">
        <x:v>9</x:v>
      </x:c>
      <x:c r="B15" s="17" t="n">
        <x:f>'Допущения'!C50*'Допущения'!D50</x:f>
        <x:v>1.0677966101694916</x:v>
      </x:c>
      <x:c r="C15" s="9" t="n">
        <x:f>'Допущения'!C31*'Допущения'!$B$8*'Допущения'!D31*$B15*(1+'Допущения'!$B$13)^0</x:f>
        <x:v>926372.2881355933</x:v>
      </x:c>
      <x:c r="D15" s="9" t="n">
        <x:f>'Допущения'!C32*'Допущения'!$B$8*'Допущения'!D32*$B15*(1+'Допущения'!$B$13)^0</x:f>
        <x:v>39905.26779661017</x:v>
      </x:c>
      <x:c r="E15" s="9" t="n">
        <x:f>'Допущения'!C33*'Допущения'!$B$8*'Допущения'!D33*$B15*(1+'Допущения'!$B$13)^0</x:f>
        <x:v>149644.7542372881</x:v>
      </x:c>
      <x:c r="F15" s="9" t="n">
        <x:f>'Допущения'!C34*'Допущения'!$B$8*'Допущения'!D34*$B15*(1+'Допущения'!$B$13)^0</x:f>
        <x:v>150436.52542372886</x:v>
      </x:c>
      <x:c r="G15" s="9" t="n">
        <x:f>'Допущения'!C35*'Допущения'!$B$8*'Допущения'!D35*$B15*(1+'Допущения'!$B$13)^0</x:f>
        <x:v>239431.60677966103</x:v>
      </x:c>
      <x:c r="H15" s="9" t="n">
        <x:f>'Допущения'!C36*'Допущения'!$B$8*'Допущения'!D36*$B15*(1+'Допущения'!$B$13)^0</x:f>
        <x:v>22169.59322033899</x:v>
      </x:c>
      <x:c r="I15" s="9" t="n">
        <x:f>'Допущения'!C37*'Допущения'!$B$8*'Допущения'!D37*$B15*(1+'Допущения'!$B$13)^0</x:f>
        <x:v>0</x:v>
      </x:c>
      <x:c r="J15" s="7" t="n">
        <x:f>SUM(C15:I15)</x:f>
        <x:v>1527960.0355932203</x:v>
      </x:c>
      <x:c r="K15" s="9" t="n">
        <x:f>J15/(1+'Допущения'!$B$9)</x:f>
        <x:v>1455200.033898305</x:v>
      </x:c>
      <x:c r="L15" s="9" t="n">
        <x:f>C15/(1+'Допущения'!$B$9)*'Допущения'!E31+'Допущения'!C31*'Допущения'!$B$8*$B15*'Допущения'!F31*(1+'Допущения'!$B$14)^0+D15/(1+'Допущения'!$B$9)*'Допущения'!E32+'Допущения'!C32*'Допущения'!$B$8*$B15*'Допущения'!F32*(1+'Допущения'!$B$14)^0+E15/(1+'Допущения'!$B$9)*'Допущения'!E33+'Допущения'!C33*'Допущения'!$B$8*$B15*'Допущения'!F33*(1+'Допущения'!$B$14)^0+F15/(1+'Допущения'!$B$9)*'Допущения'!E34+'Допущения'!C34*'Допущения'!$B$8*$B15*'Допущения'!F34*(1+'Допущения'!$B$14)^0+G15/(1+'Допущения'!$B$9)*'Допущения'!E35+'Допущения'!C35*'Допущения'!$B$8*$B15*'Допущения'!F35*(1+'Допущения'!$B$14)^0+H15/(1+'Допущения'!$B$9)*'Допущения'!E36+'Допущения'!C36*'Допущения'!$B$8*$B15*'Допущения'!F36*(1+'Допущения'!$B$14)^0+I15/(1+'Допущения'!$B$9)*'Допущения'!E37+'Допущения'!C37*'Допущения'!$B$8*$B15*'Допущения'!F37*(1+'Допущения'!$B$14)^0</x:f>
        <x:v>170012.1254237288</x:v>
      </x:c>
      <x:c r="M15" s="9" t="n">
        <x:f>J15*'Допущения'!$B$11</x:f>
        <x:v>30559.200711864407</x:v>
      </x:c>
      <x:c r="N15" s="9" t="n">
        <x:f>'Инвестиции'!$C$35*(1+'Допущения'!$B$14)^0</x:f>
        <x:v>553529.5433333333</x:v>
      </x:c>
      <x:c r="O15" s="9" t="n">
        <x:f>K15*'Допущения'!$B$10</x:f>
        <x:v>87312.00203389829</x:v>
      </x:c>
      <x:c r="P15" s="9" t="n">
        <x:f>K15*'Допущения'!$B$12</x:f>
        <x:v>29104.000677966098</x:v>
      </x:c>
      <x:c r="Q15" s="7" t="n">
        <x:f>K15-L15-M15-N15</x:f>
        <x:v>701099.1644293783</x:v>
      </x:c>
      <x:c r="R15" s="7" t="n">
        <x:f>Q15-O15-P15</x:f>
        <x:v>584683.161717514</x:v>
      </x:c>
      <x:c r="S15" s="7" t="n">
        <x:f>S14+R15</x:f>
        <x:v>-5004486.21844431</x:v>
      </x:c>
      <x:c r="T15" s="7" t="n">
        <x:f>IF(S15&gt;=0,A15,999)</x:f>
        <x:v>999</x:v>
      </x:c>
      <x:c r="U15" s="22" t="n">
        <x:f>'Допущения'!C31*'Допущения'!$B$8*B15*'Допущения'!$B$17/'Допущения'!$B$18/'Допущения'!$B$16</x:f>
        <x:v>6.478127889060094</x:v>
      </x:c>
      <x:c r="V15" s="7"/>
      <x:c r="W15" s="7"/>
    </x:row>
    <x:row r="16" ht="23" customHeight="1">
      <x:c r="A16" s="1" t="n">
        <x:v>10</x:v>
      </x:c>
      <x:c r="B16" s="17" t="n">
        <x:f>'Допущения'!C51*'Допущения'!D51</x:f>
        <x:v>1.1694915254237286</x:v>
      </x:c>
      <x:c r="C16" s="9" t="n">
        <x:f>'Допущения'!C31*'Допущения'!$B$8*'Допущения'!D31*$B16*(1+'Допущения'!$B$13)^0</x:f>
        <x:v>1014598.2203389829</x:v>
      </x:c>
      <x:c r="D16" s="9" t="n">
        <x:f>'Допущения'!C32*'Допущения'!$B$8*'Допущения'!D32*$B16*(1+'Допущения'!$B$13)^0</x:f>
        <x:v>43705.76949152541</x:v>
      </x:c>
      <x:c r="E16" s="9" t="n">
        <x:f>'Допущения'!C33*'Допущения'!$B$8*'Допущения'!D33*$B16*(1+'Допущения'!$B$13)^0</x:f>
        <x:v>163896.63559322027</x:v>
      </x:c>
      <x:c r="F16" s="9" t="n">
        <x:f>'Допущения'!C34*'Допущения'!$B$8*'Допущения'!D34*$B16*(1+'Допущения'!$B$13)^0</x:f>
        <x:v>164763.81355932204</x:v>
      </x:c>
      <x:c r="G16" s="9" t="n">
        <x:f>'Допущения'!C35*'Допущения'!$B$8*'Допущения'!D35*$B16*(1+'Допущения'!$B$13)^0</x:f>
        <x:v>262234.6169491525</x:v>
      </x:c>
      <x:c r="H16" s="9" t="n">
        <x:f>'Допущения'!C36*'Допущения'!$B$8*'Допущения'!D36*$B16*(1+'Допущения'!$B$13)^0</x:f>
        <x:v>24280.98305084746</x:v>
      </x:c>
      <x:c r="I16" s="9" t="n">
        <x:f>'Допущения'!C37*'Допущения'!$B$8*'Допущения'!D37*$B16*(1+'Допущения'!$B$13)^0</x:f>
        <x:v>0</x:v>
      </x:c>
      <x:c r="J16" s="7" t="n">
        <x:f>SUM(C16:I16)</x:f>
        <x:v>1673480.0389830505</x:v>
      </x:c>
      <x:c r="K16" s="9" t="n">
        <x:f>J16/(1+'Допущения'!$B$9)</x:f>
        <x:v>1593790.5133171908</x:v>
      </x:c>
      <x:c r="L16" s="9" t="n">
        <x:f>C16/(1+'Допущения'!$B$9)*'Допущения'!E31+'Допущения'!C31*'Допущения'!$B$8*$B16*'Допущения'!F31*(1+'Допущения'!$B$14)^0+D16/(1+'Допущения'!$B$9)*'Допущения'!E32+'Допущения'!C32*'Допущения'!$B$8*$B16*'Допущения'!F32*(1+'Допущения'!$B$14)^0+E16/(1+'Допущения'!$B$9)*'Допущения'!E33+'Допущения'!C33*'Допущения'!$B$8*$B16*'Допущения'!F33*(1+'Допущения'!$B$14)^0+F16/(1+'Допущения'!$B$9)*'Допущения'!E34+'Допущения'!C34*'Допущения'!$B$8*$B16*'Допущения'!F34*(1+'Допущения'!$B$14)^0+G16/(1+'Допущения'!$B$9)*'Допущения'!E35+'Допущения'!C35*'Допущения'!$B$8*$B16*'Допущения'!F35*(1+'Допущения'!$B$14)^0+H16/(1+'Допущения'!$B$9)*'Допущения'!E36+'Допущения'!C36*'Допущения'!$B$8*$B16*'Допущения'!F36*(1+'Допущения'!$B$14)^0+I16/(1+'Допущения'!$B$9)*'Допущения'!E37+'Допущения'!C37*'Допущения'!$B$8*$B16*'Допущения'!F37*(1+'Допущения'!$B$14)^0</x:f>
        <x:v>186203.75641646484</x:v>
      </x:c>
      <x:c r="M16" s="9" t="n">
        <x:f>J16*'Допущения'!$B$11</x:f>
        <x:v>33469.600779661014</x:v>
      </x:c>
      <x:c r="N16" s="9" t="n">
        <x:f>'Инвестиции'!$C$35*(1+'Допущения'!$B$14)^0</x:f>
        <x:v>553529.5433333333</x:v>
      </x:c>
      <x:c r="O16" s="9" t="n">
        <x:f>K16*'Допущения'!$B$10</x:f>
        <x:v>95627.43079903144</x:v>
      </x:c>
      <x:c r="P16" s="9" t="n">
        <x:f>K16*'Допущения'!$B$12</x:f>
        <x:v>31875.81026634382</x:v>
      </x:c>
      <x:c r="Q16" s="7" t="n">
        <x:f>K16-L16-M16-N16</x:f>
        <x:v>820587.6127877316</x:v>
      </x:c>
      <x:c r="R16" s="7" t="n">
        <x:f>Q16-O16-P16</x:f>
        <x:v>693084.3717223564</x:v>
      </x:c>
      <x:c r="S16" s="7" t="n">
        <x:f>S15+R16</x:f>
        <x:v>-4311401.846721954</x:v>
      </x:c>
      <x:c r="T16" s="7" t="n">
        <x:f>IF(S16&gt;=0,A16,999)</x:f>
        <x:v>999</x:v>
      </x:c>
      <x:c r="U16" s="22" t="n">
        <x:f>'Допущения'!C31*'Допущения'!$B$8*B16*'Допущения'!$B$17/'Допущения'!$B$18/'Допущения'!$B$16</x:f>
        <x:v>7.095092449922958</x:v>
      </x:c>
      <x:c r="V16" s="7"/>
      <x:c r="W16" s="7"/>
    </x:row>
    <x:row r="17" ht="23" customHeight="1">
      <x:c r="A17" s="1" t="n">
        <x:v>11</x:v>
      </x:c>
      <x:c r="B17" s="17" t="n">
        <x:f>'Допущения'!C52*'Допущения'!D52</x:f>
        <x:v>1.2203389830508473</x:v>
      </x:c>
      <x:c r="C17" s="9" t="n">
        <x:f>'Допущения'!C31*'Допущения'!$B$8*'Допущения'!D31*$B17*(1+'Допущения'!$B$13)^0</x:f>
        <x:v>1058711.1864406778</x:v>
      </x:c>
      <x:c r="D17" s="9" t="n">
        <x:f>'Допущения'!C32*'Допущения'!$B$8*'Допущения'!D32*$B17*(1+'Допущения'!$B$13)^0</x:f>
        <x:v>45606.02033898304</x:v>
      </x:c>
      <x:c r="E17" s="9" t="n">
        <x:f>'Допущения'!C33*'Допущения'!$B$8*'Допущения'!D33*$B17*(1+'Допущения'!$B$13)^0</x:f>
        <x:v>171022.57627118638</x:v>
      </x:c>
      <x:c r="F17" s="9" t="n">
        <x:f>'Допущения'!C34*'Допущения'!$B$8*'Допущения'!D34*$B17*(1+'Допущения'!$B$13)^0</x:f>
        <x:v>171927.45762711865</x:v>
      </x:c>
      <x:c r="G17" s="9" t="n">
        <x:f>'Допущения'!C35*'Допущения'!$B$8*'Допущения'!D35*$B17*(1+'Допущения'!$B$13)^0</x:f>
        <x:v>273636.12203389825</x:v>
      </x:c>
      <x:c r="H17" s="9" t="n">
        <x:f>'Допущения'!C36*'Допущения'!$B$8*'Допущения'!D36*$B17*(1+'Допущения'!$B$13)^0</x:f>
        <x:v>25336.677966101695</x:v>
      </x:c>
      <x:c r="I17" s="9" t="n">
        <x:f>'Допущения'!C37*'Допущения'!$B$8*'Допущения'!D37*$B17*(1+'Допущения'!$B$13)^0</x:f>
        <x:v>0</x:v>
      </x:c>
      <x:c r="J17" s="7" t="n">
        <x:f>SUM(C17:I17)</x:f>
        <x:v>1746240.0406779659</x:v>
      </x:c>
      <x:c r="K17" s="9" t="n">
        <x:f>J17/(1+'Допущения'!$B$9)</x:f>
        <x:v>1663085.753026634</x:v>
      </x:c>
      <x:c r="L17" s="9" t="n">
        <x:f>C17/(1+'Допущения'!$B$9)*'Допущения'!E31+'Допущения'!C31*'Допущения'!$B$8*$B17*'Допущения'!F31*(1+'Допущения'!$B$14)^0+D17/(1+'Допущения'!$B$9)*'Допущения'!E32+'Допущения'!C32*'Допущения'!$B$8*$B17*'Допущения'!F32*(1+'Допущения'!$B$14)^0+E17/(1+'Допущения'!$B$9)*'Допущения'!E33+'Допущения'!C33*'Допущения'!$B$8*$B17*'Допущения'!F33*(1+'Допущения'!$B$14)^0+F17/(1+'Допущения'!$B$9)*'Допущения'!E34+'Допущения'!C34*'Допущения'!$B$8*$B17*'Допущения'!F34*(1+'Допущения'!$B$14)^0+G17/(1+'Допущения'!$B$9)*'Допущения'!E35+'Допущения'!C35*'Допущения'!$B$8*$B17*'Допущения'!F35*(1+'Допущения'!$B$14)^0+H17/(1+'Допущения'!$B$9)*'Допущения'!E36+'Допущения'!C36*'Допущения'!$B$8*$B17*'Допущения'!F36*(1+'Допущения'!$B$14)^0+I17/(1+'Допущения'!$B$9)*'Допущения'!E37+'Допущения'!C37*'Допущения'!$B$8*$B17*'Допущения'!F37*(1+'Допущения'!$B$14)^0</x:f>
        <x:v>194299.5719128329</x:v>
      </x:c>
      <x:c r="M17" s="9" t="n">
        <x:f>J17*'Допущения'!$B$11</x:f>
        <x:v>34924.80081355932</x:v>
      </x:c>
      <x:c r="N17" s="9" t="n">
        <x:f>'Инвестиции'!$C$35*(1+'Допущения'!$B$14)^0</x:f>
        <x:v>553529.5433333333</x:v>
      </x:c>
      <x:c r="O17" s="9" t="n">
        <x:f>K17*'Допущения'!$B$10</x:f>
        <x:v>99785.14518159804</x:v>
      </x:c>
      <x:c r="P17" s="9" t="n">
        <x:f>K17*'Допущения'!$B$12</x:f>
        <x:v>33261.71506053268</x:v>
      </x:c>
      <x:c r="Q17" s="7" t="n">
        <x:f>K17-L17-M17-N17</x:f>
        <x:v>880331.8369669084</x:v>
      </x:c>
      <x:c r="R17" s="7" t="n">
        <x:f>Q17-O17-P17</x:f>
        <x:v>747284.9767247777</x:v>
      </x:c>
      <x:c r="S17" s="7" t="n">
        <x:f>S16+R17</x:f>
        <x:v>-3564116.869997176</x:v>
      </x:c>
      <x:c r="T17" s="7" t="n">
        <x:f>IF(S17&gt;=0,A17,999)</x:f>
        <x:v>999</x:v>
      </x:c>
      <x:c r="U17" s="22" t="n">
        <x:f>'Допущения'!C31*'Допущения'!$B$8*B17*'Допущения'!$B$17/'Допущения'!$B$18/'Допущения'!$B$16</x:f>
        <x:v>7.403574730354389</x:v>
      </x:c>
      <x:c r="V17" s="7"/>
      <x:c r="W17" s="7"/>
    </x:row>
    <x:row r="18" ht="23" customHeight="1">
      <x:c r="A18" s="1" t="n">
        <x:v>12</x:v>
      </x:c>
      <x:c r="B18" s="17" t="n">
        <x:f>'Допущения'!C53*'Допущения'!D53</x:f>
        <x:v>1.271186440677966</x:v>
      </x:c>
      <x:c r="C18" s="9" t="n">
        <x:f>'Допущения'!C31*'Допущения'!$B$8*'Допущения'!D31*$B18*(1+'Допущения'!$B$13)^0</x:f>
        <x:v>1102824.152542373</x:v>
      </x:c>
      <x:c r="D18" s="9" t="n">
        <x:f>'Допущения'!C32*'Допущения'!$B$8*'Допущения'!D32*$B18*(1+'Допущения'!$B$13)^0</x:f>
        <x:v>47506.271186440674</x:v>
      </x:c>
      <x:c r="E18" s="9" t="n">
        <x:f>'Допущения'!C33*'Допущения'!$B$8*'Допущения'!D33*$B18*(1+'Допущения'!$B$13)^0</x:f>
        <x:v>178148.5169491525</x:v>
      </x:c>
      <x:c r="F18" s="9" t="n">
        <x:f>'Допущения'!C34*'Допущения'!$B$8*'Допущения'!D34*$B18*(1+'Допущения'!$B$13)^0</x:f>
        <x:v>179091.10169491527</x:v>
      </x:c>
      <x:c r="G18" s="9" t="n">
        <x:f>'Допущения'!C35*'Допущения'!$B$8*'Допущения'!D35*$B18*(1+'Допущения'!$B$13)^0</x:f>
        <x:v>285037.6271186441</x:v>
      </x:c>
      <x:c r="H18" s="9" t="n">
        <x:f>'Допущения'!C36*'Допущения'!$B$8*'Допущения'!D36*$B18*(1+'Допущения'!$B$13)^0</x:f>
        <x:v>26392.372881355936</x:v>
      </x:c>
      <x:c r="I18" s="9" t="n">
        <x:f>'Допущения'!C37*'Допущения'!$B$8*'Допущения'!D37*$B18*(1+'Допущения'!$B$13)^0</x:f>
        <x:v>0</x:v>
      </x:c>
      <x:c r="J18" s="7" t="n">
        <x:f>SUM(C18:I18)</x:f>
        <x:v>1819000.0423728814</x:v>
      </x:c>
      <x:c r="K18" s="9" t="n">
        <x:f>J18/(1+'Допущения'!$B$9)</x:f>
        <x:v>1732380.9927360774</x:v>
      </x:c>
      <x:c r="L18" s="9" t="n">
        <x:f>C18/(1+'Допущения'!$B$9)*'Допущения'!E31+'Допущения'!C31*'Допущения'!$B$8*$B18*'Допущения'!F31*(1+'Допущения'!$B$14)^0+D18/(1+'Допущения'!$B$9)*'Допущения'!E32+'Допущения'!C32*'Допущения'!$B$8*$B18*'Допущения'!F32*(1+'Допущения'!$B$14)^0+E18/(1+'Допущения'!$B$9)*'Допущения'!E33+'Допущения'!C33*'Допущения'!$B$8*$B18*'Допущения'!F33*(1+'Допущения'!$B$14)^0+F18/(1+'Допущения'!$B$9)*'Допущения'!E34+'Допущения'!C34*'Допущения'!$B$8*$B18*'Допущения'!F34*(1+'Допущения'!$B$14)^0+G18/(1+'Допущения'!$B$9)*'Допущения'!E35+'Допущения'!C35*'Допущения'!$B$8*$B18*'Допущения'!F35*(1+'Допущения'!$B$14)^0+H18/(1+'Допущения'!$B$9)*'Допущения'!E36+'Допущения'!C36*'Допущения'!$B$8*$B18*'Допущения'!F36*(1+'Допущения'!$B$14)^0+I18/(1+'Допущения'!$B$9)*'Допущения'!E37+'Допущения'!C37*'Допущения'!$B$8*$B18*'Допущения'!F37*(1+'Допущения'!$B$14)^0</x:f>
        <x:v>202395.38740920098</x:v>
      </x:c>
      <x:c r="M18" s="9" t="n">
        <x:f>J18*'Допущения'!$B$11</x:f>
        <x:v>36380.00084745763</x:v>
      </x:c>
      <x:c r="N18" s="9" t="n">
        <x:f>'Инвестиции'!$C$35*(1+'Допущения'!$B$14)^0</x:f>
        <x:v>553529.5433333333</x:v>
      </x:c>
      <x:c r="O18" s="9" t="n">
        <x:f>K18*'Допущения'!$B$10</x:f>
        <x:v>103942.85956416464</x:v>
      </x:c>
      <x:c r="P18" s="9" t="n">
        <x:f>K18*'Допущения'!$B$12</x:f>
        <x:v>34647.619854721546</x:v>
      </x:c>
      <x:c r="Q18" s="7" t="n">
        <x:f>K18-L18-M18-N18</x:f>
        <x:v>940076.0611460855</x:v>
      </x:c>
      <x:c r="R18" s="7" t="n">
        <x:f>Q18-O18-P18</x:f>
        <x:v>801485.5817271993</x:v>
      </x:c>
      <x:c r="S18" s="7" t="n">
        <x:f>S17+R18</x:f>
        <x:v>-2762631.2882699766</x:v>
      </x:c>
      <x:c r="T18" s="7" t="n">
        <x:f>IF(S18&gt;=0,A18,999)</x:f>
        <x:v>999</x:v>
      </x:c>
      <x:c r="U18" s="22" t="n">
        <x:f>'Допущения'!C31*'Допущения'!$B$8*B18*'Допущения'!$B$17/'Допущения'!$B$18/'Допущения'!$B$16</x:f>
        <x:v>7.7120570107858235</x:v>
      </x:c>
      <x:c r="V18" s="7"/>
      <x:c r="W18" s="7"/>
    </x:row>
    <x:row r="19" ht="23" customHeight="1">
      <x:c r="A19" s="1" t="n">
        <x:v>13</x:v>
      </x:c>
      <x:c r="B19" s="17" t="n">
        <x:f>'Допущения'!C42*'Допущения'!D53</x:f>
        <x:v>1.1186440677966103</x:v>
      </x:c>
      <x:c r="C19" s="9" t="n">
        <x:f>'Допущения'!C31*'Допущения'!$B$8*'Допущения'!D31*$B19*(1+'Допущения'!$B$13)^1</x:f>
        <x:v>999599.8118644069</x:v>
      </x:c>
      <x:c r="D19" s="9" t="n">
        <x:f>'Допущения'!C32*'Допущения'!$B$8*'Допущения'!D32*$B19*(1+'Допущения'!$B$13)^1</x:f>
        <x:v>43059.684203389836</x:v>
      </x:c>
      <x:c r="E19" s="9" t="n">
        <x:f>'Допущения'!C33*'Допущения'!$B$8*'Допущения'!D33*$B19*(1+'Допущения'!$B$13)^1</x:f>
        <x:v>161473.81576271186</x:v>
      </x:c>
      <x:c r="F19" s="9" t="n">
        <x:f>'Допущения'!C34*'Допущения'!$B$8*'Допущения'!D34*$B19*(1+'Допущения'!$B$13)^1</x:f>
        <x:v>162328.17457627124</x:v>
      </x:c>
      <x:c r="G19" s="9" t="n">
        <x:f>'Допущения'!C35*'Допущения'!$B$8*'Допущения'!D35*$B19*(1+'Допущения'!$B$13)^1</x:f>
        <x:v>258358.10522033903</x:v>
      </x:c>
      <x:c r="H19" s="9" t="n">
        <x:f>'Допущения'!C36*'Допущения'!$B$8*'Допущения'!D36*$B19*(1+'Допущения'!$B$13)^1</x:f>
        <x:v>23922.046779661025</x:v>
      </x:c>
      <x:c r="I19" s="9" t="n">
        <x:f>'Допущения'!C37*'Допущения'!$B$8*'Допущения'!D37*$B19*(1+'Допущения'!$B$13)^1</x:f>
        <x:v>0</x:v>
      </x:c>
      <x:c r="J19" s="7" t="n">
        <x:f>SUM(C19:I19)</x:f>
        <x:v>1648741.6384067798</x:v>
      </x:c>
      <x:c r="K19" s="9" t="n">
        <x:f>J19/(1+'Допущения'!$B$9)</x:f>
        <x:v>1570230.1318159807</x:v>
      </x:c>
      <x:c r="L19" s="9" t="n">
        <x:f>C19/(1+'Допущения'!$B$9)*'Допущения'!E31+'Допущения'!C31*'Допущения'!$B$8*$B19*'Допущения'!F31*(1+'Допущения'!$B$14)^1+D19/(1+'Допущения'!$B$9)*'Допущения'!E32+'Допущения'!C32*'Допущения'!$B$8*$B19*'Допущения'!F32*(1+'Допущения'!$B$14)^1+E19/(1+'Допущения'!$B$9)*'Допущения'!E33+'Допущения'!C33*'Допущения'!$B$8*$B19*'Допущения'!F33*(1+'Допущения'!$B$14)^1+F19/(1+'Допущения'!$B$9)*'Допущения'!E34+'Допущения'!C34*'Допущения'!$B$8*$B19*'Допущения'!F34*(1+'Допущения'!$B$14)^1+G19/(1+'Допущения'!$B$9)*'Допущения'!E35+'Допущения'!C35*'Допущения'!$B$8*$B19*'Допущения'!F35*(1+'Допущения'!$B$14)^1+H19/(1+'Допущения'!$B$9)*'Допущения'!E36+'Допущения'!C36*'Допущения'!$B$8*$B19*'Допущения'!F36*(1+'Допущения'!$B$14)^1+I19/(1+'Допущения'!$B$9)*'Допущения'!E37+'Допущения'!C37*'Допущения'!$B$8*$B19*'Допущения'!F37*(1+'Допущения'!$B$14)^1</x:f>
        <x:v>183451.1791476998</x:v>
      </x:c>
      <x:c r="M19" s="9" t="n">
        <x:f>J19*'Допущения'!$B$11</x:f>
        <x:v>32974.832768135595</x:v>
      </x:c>
      <x:c r="N19" s="9" t="n">
        <x:f>'Инвестиции'!$C$35*(1+'Допущения'!$B$14)^1</x:f>
        <x:v>581206.0205</x:v>
      </x:c>
      <x:c r="O19" s="9" t="n">
        <x:f>K19*'Допущения'!$B$10</x:f>
        <x:v>94213.80790895884</x:v>
      </x:c>
      <x:c r="P19" s="9" t="n">
        <x:f>K19*'Допущения'!$B$12</x:f>
        <x:v>31404.602636319614</x:v>
      </x:c>
      <x:c r="Q19" s="7" t="n">
        <x:f>K19-L19-M19-N19</x:f>
        <x:v>772598.0994001451</x:v>
      </x:c>
      <x:c r="R19" s="7" t="n">
        <x:f>Q19-O19-P19</x:f>
        <x:v>646979.6888548667</x:v>
      </x:c>
      <x:c r="S19" s="7" t="n">
        <x:f>S18+R19</x:f>
        <x:v>-2115651.59941511</x:v>
      </x:c>
      <x:c r="T19" s="7" t="n">
        <x:f>IF(S19&gt;=0,A19,999)</x:f>
        <x:v>999</x:v>
      </x:c>
      <x:c r="U19" s="22" t="n">
        <x:f>'Допущения'!C31*'Допущения'!$B$8*B19*'Допущения'!$B$17/'Допущения'!$B$18/'Допущения'!$B$16</x:f>
        <x:v>6.786610169491525</x:v>
      </x:c>
      <x:c r="V19" s="7"/>
      <x:c r="W19" s="7"/>
    </x:row>
    <x:row r="20" ht="23" customHeight="1">
      <x:c r="A20" s="1" t="n">
        <x:v>14</x:v>
      </x:c>
      <x:c r="B20" s="17" t="n">
        <x:f>'Допущения'!C43*'Допущения'!D53</x:f>
        <x:v>1.0677966101694916</x:v>
      </x:c>
      <x:c r="C20" s="9" t="n">
        <x:f>'Допущения'!C31*'Допущения'!$B$8*'Допущения'!D31*$B20*(1+'Допущения'!$B$13)^1</x:f>
        <x:v>954163.4567796611</x:v>
      </x:c>
      <x:c r="D20" s="9" t="n">
        <x:f>'Допущения'!C32*'Допущения'!$B$8*'Допущения'!D32*$B20*(1+'Допущения'!$B$13)^1</x:f>
        <x:v>41102.42583050847</x:v>
      </x:c>
      <x:c r="E20" s="9" t="n">
        <x:f>'Допущения'!C33*'Допущения'!$B$8*'Допущения'!D33*$B20*(1+'Допущения'!$B$13)^1</x:f>
        <x:v>154134.09686440678</x:v>
      </x:c>
      <x:c r="F20" s="9" t="n">
        <x:f>'Допущения'!C34*'Допущения'!$B$8*'Допущения'!D34*$B20*(1+'Допущения'!$B$13)^1</x:f>
        <x:v>154949.62118644072</x:v>
      </x:c>
      <x:c r="G20" s="9" t="n">
        <x:f>'Допущения'!C35*'Допущения'!$B$8*'Допущения'!D35*$B20*(1+'Допущения'!$B$13)^1</x:f>
        <x:v>246614.55498305085</x:v>
      </x:c>
      <x:c r="H20" s="9" t="n">
        <x:f>'Допущения'!C36*'Допущения'!$B$8*'Допущения'!D36*$B20*(1+'Допущения'!$B$13)^1</x:f>
        <x:v>22834.68101694916</x:v>
      </x:c>
      <x:c r="I20" s="9" t="n">
        <x:f>'Допущения'!C37*'Допущения'!$B$8*'Допущения'!D37*$B20*(1+'Допущения'!$B$13)^1</x:f>
        <x:v>0</x:v>
      </x:c>
      <x:c r="J20" s="7" t="n">
        <x:f>SUM(C20:I20)</x:f>
        <x:v>1573798.8366610173</x:v>
      </x:c>
      <x:c r="K20" s="9" t="n">
        <x:f>J20/(1+'Допущения'!$B$9)</x:f>
        <x:v>1498856.0349152545</x:v>
      </x:c>
      <x:c r="L20" s="9" t="n">
        <x:f>C20/(1+'Допущения'!$B$9)*'Допущения'!E31+'Допущения'!C31*'Допущения'!$B$8*$B20*'Допущения'!F31*(1+'Допущения'!$B$14)^1+D20/(1+'Допущения'!$B$9)*'Допущения'!E32+'Допущения'!C32*'Допущения'!$B$8*$B20*'Допущения'!F32*(1+'Допущения'!$B$14)^1+E20/(1+'Допущения'!$B$9)*'Допущения'!E33+'Допущения'!C33*'Допущения'!$B$8*$B20*'Допущения'!F33*(1+'Допущения'!$B$14)^1+F20/(1+'Допущения'!$B$9)*'Допущения'!E34+'Допущения'!C34*'Допущения'!$B$8*$B20*'Допущения'!F34*(1+'Допущения'!$B$14)^1+G20/(1+'Допущения'!$B$9)*'Допущения'!E35+'Допущения'!C35*'Допущения'!$B$8*$B20*'Допущения'!F35*(1+'Допущения'!$B$14)^1+H20/(1+'Допущения'!$B$9)*'Допущения'!E36+'Допущения'!C36*'Допущения'!$B$8*$B20*'Допущения'!F36*(1+'Допущения'!$B$14)^1+I20/(1+'Допущения'!$B$9)*'Допущения'!E37+'Допущения'!C37*'Допущения'!$B$8*$B20*'Допущения'!F37*(1+'Допущения'!$B$14)^1</x:f>
        <x:v>175112.48918644068</x:v>
      </x:c>
      <x:c r="M20" s="9" t="n">
        <x:f>J20*'Допущения'!$B$11</x:f>
        <x:v>31475.976733220345</x:v>
      </x:c>
      <x:c r="N20" s="9" t="n">
        <x:f>'Инвестиции'!$C$35*(1+'Допущения'!$B$14)^1</x:f>
        <x:v>581206.0205</x:v>
      </x:c>
      <x:c r="O20" s="9" t="n">
        <x:f>K20*'Допущения'!$B$10</x:f>
        <x:v>89931.36209491527</x:v>
      </x:c>
      <x:c r="P20" s="9" t="n">
        <x:f>K20*'Допущения'!$B$12</x:f>
        <x:v>29977.12069830509</x:v>
      </x:c>
      <x:c r="Q20" s="7" t="n">
        <x:f>K20-L20-M20-N20</x:f>
        <x:v>711061.5484955936</x:v>
      </x:c>
      <x:c r="R20" s="7" t="n">
        <x:f>Q20-O20-P20</x:f>
        <x:v>591153.0657023733</x:v>
      </x:c>
      <x:c r="S20" s="7" t="n">
        <x:f>S19+R20</x:f>
        <x:v>-1524498.5337127368</x:v>
      </x:c>
      <x:c r="T20" s="7" t="n">
        <x:f>IF(S20&gt;=0,A20,999)</x:f>
        <x:v>999</x:v>
      </x:c>
      <x:c r="U20" s="22" t="n">
        <x:f>'Допущения'!C31*'Допущения'!$B$8*B20*'Допущения'!$B$17/'Допущения'!$B$18/'Допущения'!$B$16</x:f>
        <x:v>6.478127889060094</x:v>
      </x:c>
      <x:c r="V20" s="7"/>
      <x:c r="W20" s="7"/>
    </x:row>
    <x:row r="21" ht="23" customHeight="1">
      <x:c r="A21" s="1" t="n">
        <x:v>15</x:v>
      </x:c>
      <x:c r="B21" s="17" t="n">
        <x:f>'Допущения'!C44*'Допущения'!D53</x:f>
        <x:v>1.0169491525423728</x:v>
      </x:c>
      <x:c r="C21" s="9" t="n">
        <x:f>'Допущения'!C31*'Допущения'!$B$8*'Допущения'!D31*$B21*(1+'Допущения'!$B$13)^1</x:f>
        <x:v>908727.1016949153</x:v>
      </x:c>
      <x:c r="D21" s="9" t="n">
        <x:f>'Допущения'!C32*'Допущения'!$B$8*'Допущения'!D32*$B21*(1+'Допущения'!$B$13)^1</x:f>
        <x:v>39145.16745762712</x:v>
      </x:c>
      <x:c r="E21" s="9" t="n">
        <x:f>'Допущения'!C33*'Допущения'!$B$8*'Допущения'!D33*$B21*(1+'Допущения'!$B$13)^1</x:f>
        <x:v>146794.37796610166</x:v>
      </x:c>
      <x:c r="F21" s="9" t="n">
        <x:f>'Допущения'!C34*'Допущения'!$B$8*'Допущения'!D34*$B21*(1+'Допущения'!$B$13)^1</x:f>
        <x:v>147571.06779661018</x:v>
      </x:c>
      <x:c r="G21" s="9" t="n">
        <x:f>'Допущения'!C35*'Допущения'!$B$8*'Допущения'!D35*$B21*(1+'Допущения'!$B$13)^1</x:f>
        <x:v>234871.0047457627</x:v>
      </x:c>
      <x:c r="H21" s="9" t="n">
        <x:f>'Допущения'!C36*'Допущения'!$B$8*'Допущения'!D36*$B21*(1+'Допущения'!$B$13)^1</x:f>
        <x:v>21747.31525423729</x:v>
      </x:c>
      <x:c r="I21" s="9" t="n">
        <x:f>'Допущения'!C37*'Допущения'!$B$8*'Допущения'!D37*$B21*(1+'Допущения'!$B$13)^1</x:f>
        <x:v>0</x:v>
      </x:c>
      <x:c r="J21" s="7" t="n">
        <x:f>SUM(C21:I21)</x:f>
        <x:v>1498856.0349152542</x:v>
      </x:c>
      <x:c r="K21" s="9" t="n">
        <x:f>J21/(1+'Допущения'!$B$9)</x:f>
        <x:v>1427481.9380145278</x:v>
      </x:c>
      <x:c r="L21" s="9" t="n">
        <x:f>C21/(1+'Допущения'!$B$9)*'Допущения'!E31+'Допущения'!C31*'Допущения'!$B$8*$B21*'Допущения'!F31*(1+'Допущения'!$B$14)^1+D21/(1+'Допущения'!$B$9)*'Допущения'!E32+'Допущения'!C32*'Допущения'!$B$8*$B21*'Допущения'!F32*(1+'Допущения'!$B$14)^1+E21/(1+'Допущения'!$B$9)*'Допущения'!E33+'Допущения'!C33*'Допущения'!$B$8*$B21*'Допущения'!F33*(1+'Допущения'!$B$14)^1+F21/(1+'Допущения'!$B$9)*'Допущения'!E34+'Допущения'!C34*'Допущения'!$B$8*$B21*'Допущения'!F34*(1+'Допущения'!$B$14)^1+G21/(1+'Допущения'!$B$9)*'Допущения'!E35+'Допущения'!C35*'Допущения'!$B$8*$B21*'Допущения'!F35*(1+'Допущения'!$B$14)^1+H21/(1+'Допущения'!$B$9)*'Допущения'!E36+'Допущения'!C36*'Допущения'!$B$8*$B21*'Допущения'!F36*(1+'Допущения'!$B$14)^1+I21/(1+'Допущения'!$B$9)*'Допущения'!E37+'Допущения'!C37*'Допущения'!$B$8*$B21*'Допущения'!F37*(1+'Допущения'!$B$14)^1</x:f>
        <x:v>166773.79922518157</x:v>
      </x:c>
      <x:c r="M21" s="9" t="n">
        <x:f>J21*'Допущения'!$B$11</x:f>
        <x:v>29977.120698305083</x:v>
      </x:c>
      <x:c r="N21" s="9" t="n">
        <x:f>'Инвестиции'!$C$35*(1+'Допущения'!$B$14)^1</x:f>
        <x:v>581206.0205</x:v>
      </x:c>
      <x:c r="O21" s="9" t="n">
        <x:f>K21*'Допущения'!$B$10</x:f>
        <x:v>85648.91628087166</x:v>
      </x:c>
      <x:c r="P21" s="9" t="n">
        <x:f>K21*'Допущения'!$B$12</x:f>
        <x:v>28549.638760290556</x:v>
      </x:c>
      <x:c r="Q21" s="7" t="n">
        <x:f>K21-L21-M21-N21</x:f>
        <x:v>649524.9975910411</x:v>
      </x:c>
      <x:c r="R21" s="7" t="n">
        <x:f>Q21-O21-P21</x:f>
        <x:v>535326.442549879</x:v>
      </x:c>
      <x:c r="S21" s="7" t="n">
        <x:f>S20+R21</x:f>
        <x:v>-989172.0911628578</x:v>
      </x:c>
      <x:c r="T21" s="7" t="n">
        <x:f>IF(S21&gt;=0,A21,999)</x:f>
        <x:v>999</x:v>
      </x:c>
      <x:c r="U21" s="22" t="n">
        <x:f>'Допущения'!C31*'Допущения'!$B$8*B21*'Допущения'!$B$17/'Допущения'!$B$18/'Допущения'!$B$16</x:f>
        <x:v>6.1696456086286595</x:v>
      </x:c>
      <x:c r="V21" s="7"/>
      <x:c r="W21" s="7"/>
    </x:row>
    <x:row r="22" ht="23" customHeight="1">
      <x:c r="A22" s="1" t="n">
        <x:v>16</x:v>
      </x:c>
      <x:c r="B22" s="17" t="n">
        <x:f>'Допущения'!C45*'Допущения'!D53</x:f>
        <x:v>0.9152542372881356</x:v>
      </x:c>
      <x:c r="C22" s="9" t="n">
        <x:f>'Допущения'!C31*'Допущения'!$B$8*'Допущения'!D31*$B22*(1+'Допущения'!$B$13)^1</x:f>
        <x:v>817854.3915254237</x:v>
      </x:c>
      <x:c r="D22" s="9" t="n">
        <x:f>'Допущения'!C32*'Допущения'!$B$8*'Допущения'!D32*$B22*(1+'Допущения'!$B$13)^1</x:f>
        <x:v>35230.65071186441</x:v>
      </x:c>
      <x:c r="E22" s="9" t="n">
        <x:f>'Допущения'!C33*'Допущения'!$B$8*'Допущения'!D33*$B22*(1+'Допущения'!$B$13)^1</x:f>
        <x:v>132114.9401694915</x:v>
      </x:c>
      <x:c r="F22" s="9" t="n">
        <x:f>'Допущения'!C34*'Допущения'!$B$8*'Допущения'!D34*$B22*(1+'Допущения'!$B$13)^1</x:f>
        <x:v>132813.96101694918</x:v>
      </x:c>
      <x:c r="G22" s="9" t="n">
        <x:f>'Допущения'!C35*'Допущения'!$B$8*'Допущения'!D35*$B22*(1+'Допущения'!$B$13)^1</x:f>
        <x:v>211383.90427118647</x:v>
      </x:c>
      <x:c r="H22" s="9" t="n">
        <x:f>'Допущения'!C36*'Допущения'!$B$8*'Допущения'!D36*$B22*(1+'Допущения'!$B$13)^1</x:f>
        <x:v>19572.583728813566</x:v>
      </x:c>
      <x:c r="I22" s="9" t="n">
        <x:f>'Допущения'!C37*'Допущения'!$B$8*'Допущения'!D37*$B22*(1+'Допущения'!$B$13)^1</x:f>
        <x:v>0</x:v>
      </x:c>
      <x:c r="J22" s="7" t="n">
        <x:f>SUM(C22:I22)</x:f>
        <x:v>1348970.431423729</x:v>
      </x:c>
      <x:c r="K22" s="9" t="n">
        <x:f>J22/(1+'Допущения'!$B$9)</x:f>
        <x:v>1284733.7442130751</x:v>
      </x:c>
      <x:c r="L22" s="9" t="n">
        <x:f>C22/(1+'Допущения'!$B$9)*'Допущения'!E31+'Допущения'!C31*'Допущения'!$B$8*$B22*'Допущения'!F31*(1+'Допущения'!$B$14)^1+D22/(1+'Допущения'!$B$9)*'Допущения'!E32+'Допущения'!C32*'Допущения'!$B$8*$B22*'Допущения'!F32*(1+'Допущения'!$B$14)^1+E22/(1+'Допущения'!$B$9)*'Допущения'!E33+'Допущения'!C33*'Допущения'!$B$8*$B22*'Допущения'!F33*(1+'Допущения'!$B$14)^1+F22/(1+'Допущения'!$B$9)*'Допущения'!E34+'Допущения'!C34*'Допущения'!$B$8*$B22*'Допущения'!F34*(1+'Допущения'!$B$14)^1+G22/(1+'Допущения'!$B$9)*'Допущения'!E35+'Допущения'!C35*'Допущения'!$B$8*$B22*'Допущения'!F35*(1+'Допущения'!$B$14)^1+H22/(1+'Допущения'!$B$9)*'Допущения'!E36+'Допущения'!C36*'Допущения'!$B$8*$B22*'Допущения'!F36*(1+'Допущения'!$B$14)^1+I22/(1+'Допущения'!$B$9)*'Допущения'!E37+'Допущения'!C37*'Допущения'!$B$8*$B22*'Допущения'!F37*(1+'Допущения'!$B$14)^1</x:f>
        <x:v>150096.41930266345</x:v>
      </x:c>
      <x:c r="M22" s="9" t="n">
        <x:f>J22*'Допущения'!$B$11</x:f>
        <x:v>26979.408628474583</x:v>
      </x:c>
      <x:c r="N22" s="9" t="n">
        <x:f>'Инвестиции'!$C$35*(1+'Допущения'!$B$14)^1</x:f>
        <x:v>581206.0205</x:v>
      </x:c>
      <x:c r="O22" s="9" t="n">
        <x:f>K22*'Допущения'!$B$10</x:f>
        <x:v>77084.0246527845</x:v>
      </x:c>
      <x:c r="P22" s="9" t="n">
        <x:f>K22*'Допущения'!$B$12</x:f>
        <x:v>25694.674884261505</x:v>
      </x:c>
      <x:c r="Q22" s="7" t="n">
        <x:f>K22-L22-M22-N22</x:f>
        <x:v>526451.8957819369</x:v>
      </x:c>
      <x:c r="R22" s="7" t="n">
        <x:f>Q22-O22-P22</x:f>
        <x:v>423673.1962448909</x:v>
      </x:c>
      <x:c r="S22" s="7" t="n">
        <x:f>S21+R22</x:f>
        <x:v>-565498.8949179669</x:v>
      </x:c>
      <x:c r="T22" s="7" t="n">
        <x:f>IF(S22&gt;=0,A22,999)</x:f>
        <x:v>999</x:v>
      </x:c>
      <x:c r="U22" s="22" t="n">
        <x:f>'Допущения'!C31*'Допущения'!$B$8*B22*'Допущения'!$B$17/'Допущения'!$B$18/'Допущения'!$B$16</x:f>
        <x:v>5.552681047765794</x:v>
      </x:c>
      <x:c r="V22" s="7"/>
      <x:c r="W22" s="7"/>
    </x:row>
    <x:row r="23" ht="23" customHeight="1">
      <x:c r="A23" s="1" t="n">
        <x:v>17</x:v>
      </x:c>
      <x:c r="B23" s="17" t="n">
        <x:f>'Допущения'!C46*'Допущения'!D53</x:f>
        <x:v>0.8644067796610169</x:v>
      </x:c>
      <x:c r="C23" s="9" t="n">
        <x:f>'Допущения'!C31*'Допущения'!$B$8*'Допущения'!D31*$B23*(1+'Допущения'!$B$13)^1</x:f>
        <x:v>772418.0364406779</x:v>
      </x:c>
      <x:c r="D23" s="9" t="n">
        <x:f>'Допущения'!C32*'Допущения'!$B$8*'Допущения'!D32*$B23*(1+'Допущения'!$B$13)^1</x:f>
        <x:v>33273.392338983045</x:v>
      </x:c>
      <x:c r="E23" s="9" t="n">
        <x:f>'Допущения'!C33*'Допущения'!$B$8*'Допущения'!D33*$B23*(1+'Допущения'!$B$13)^1</x:f>
        <x:v>124775.22127118641</x:v>
      </x:c>
      <x:c r="F23" s="9" t="n">
        <x:f>'Допущения'!C34*'Допущения'!$B$8*'Допущения'!D34*$B23*(1+'Допущения'!$B$13)^1</x:f>
        <x:v>125435.40762711865</x:v>
      </x:c>
      <x:c r="G23" s="9" t="n">
        <x:f>'Допущения'!C35*'Допущения'!$B$8*'Допущения'!D35*$B23*(1+'Допущения'!$B$13)^1</x:f>
        <x:v>199640.3540338983</x:v>
      </x:c>
      <x:c r="H23" s="9" t="n">
        <x:f>'Допущения'!C36*'Допущения'!$B$8*'Допущения'!D36*$B23*(1+'Допущения'!$B$13)^1</x:f>
        <x:v>18485.217966101696</x:v>
      </x:c>
      <x:c r="I23" s="9" t="n">
        <x:f>'Допущения'!C37*'Допущения'!$B$8*'Допущения'!D37*$B23*(1+'Допущения'!$B$13)^1</x:f>
        <x:v>0</x:v>
      </x:c>
      <x:c r="J23" s="7" t="n">
        <x:f>SUM(C23:I23)</x:f>
        <x:v>1274027.629677966</x:v>
      </x:c>
      <x:c r="K23" s="9" t="n">
        <x:f>J23/(1+'Допущения'!$B$9)</x:f>
        <x:v>1213359.6473123485</x:v>
      </x:c>
      <x:c r="L23" s="9" t="n">
        <x:f>C23/(1+'Допущения'!$B$9)*'Допущения'!E31+'Допущения'!C31*'Допущения'!$B$8*$B23*'Допущения'!F31*(1+'Допущения'!$B$14)^1+D23/(1+'Допущения'!$B$9)*'Допущения'!E32+'Допущения'!C32*'Допущения'!$B$8*$B23*'Допущения'!F32*(1+'Допущения'!$B$14)^1+E23/(1+'Допущения'!$B$9)*'Допущения'!E33+'Допущения'!C33*'Допущения'!$B$8*$B23*'Допущения'!F33*(1+'Допущения'!$B$14)^1+F23/(1+'Допущения'!$B$9)*'Допущения'!E34+'Допущения'!C34*'Допущения'!$B$8*$B23*'Допущения'!F34*(1+'Допущения'!$B$14)^1+G23/(1+'Допущения'!$B$9)*'Допущения'!E35+'Допущения'!C35*'Допущения'!$B$8*$B23*'Допущения'!F35*(1+'Допущения'!$B$14)^1+H23/(1+'Допущения'!$B$9)*'Допущения'!E36+'Допущения'!C36*'Допущения'!$B$8*$B23*'Допущения'!F36*(1+'Допущения'!$B$14)^1+I23/(1+'Допущения'!$B$9)*'Допущения'!E37+'Допущения'!C37*'Допущения'!$B$8*$B23*'Допущения'!F37*(1+'Допущения'!$B$14)^1</x:f>
        <x:v>141757.72934140437</x:v>
      </x:c>
      <x:c r="M23" s="9" t="n">
        <x:f>J23*'Допущения'!$B$11</x:f>
        <x:v>25480.55259355932</x:v>
      </x:c>
      <x:c r="N23" s="9" t="n">
        <x:f>'Инвестиции'!$C$35*(1+'Допущения'!$B$14)^1</x:f>
        <x:v>581206.0205</x:v>
      </x:c>
      <x:c r="O23" s="9" t="n">
        <x:f>K23*'Допущения'!$B$10</x:f>
        <x:v>72801.57883874091</x:v>
      </x:c>
      <x:c r="P23" s="9" t="n">
        <x:f>K23*'Допущения'!$B$12</x:f>
        <x:v>24267.19294624697</x:v>
      </x:c>
      <x:c r="Q23" s="7" t="n">
        <x:f>K23-L23-M23-N23</x:f>
        <x:v>464915.34487738484</x:v>
      </x:c>
      <x:c r="R23" s="7" t="n">
        <x:f>Q23-O23-P23</x:f>
        <x:v>367846.57309239695</x:v>
      </x:c>
      <x:c r="S23" s="7" t="n">
        <x:f>S22+R23</x:f>
        <x:v>-197652.32182556996</x:v>
      </x:c>
      <x:c r="T23" s="7" t="n">
        <x:f>IF(S23&gt;=0,A23,999)</x:f>
        <x:v>999</x:v>
      </x:c>
      <x:c r="U23" s="22" t="n">
        <x:f>'Допущения'!C31*'Допущения'!$B$8*B23*'Допущения'!$B$17/'Допущения'!$B$18/'Допущения'!$B$16</x:f>
        <x:v>5.24419876733436</x:v>
      </x:c>
      <x:c r="V23" s="7"/>
      <x:c r="W23" s="7"/>
    </x:row>
    <x:row r="24" ht="23" customHeight="1">
      <x:c r="A24" s="1" t="n">
        <x:v>18</x:v>
      </x:c>
      <x:c r="B24" s="17" t="n">
        <x:f>'Допущения'!C47*'Допущения'!D53</x:f>
        <x:v>0.7118644067796609</x:v>
      </x:c>
      <x:c r="C24" s="9" t="n">
        <x:f>'Допущения'!C31*'Допущения'!$B$8*'Допущения'!D31*$B24*(1+'Допущения'!$B$13)^1</x:f>
        <x:v>636108.9711864407</x:v>
      </x:c>
      <x:c r="D24" s="9" t="n">
        <x:f>'Допущения'!C32*'Допущения'!$B$8*'Допущения'!D32*$B24*(1+'Допущения'!$B$13)^1</x:f>
        <x:v>27401.617220338976</x:v>
      </x:c>
      <x:c r="E24" s="9" t="n">
        <x:f>'Допущения'!C33*'Допущения'!$B$8*'Допущения'!D33*$B24*(1+'Допущения'!$B$13)^1</x:f>
        <x:v>102756.06457627115</x:v>
      </x:c>
      <x:c r="F24" s="9" t="n">
        <x:f>'Допущения'!C34*'Допущения'!$B$8*'Допущения'!D34*$B24*(1+'Допущения'!$B$13)^1</x:f>
        <x:v>103299.74745762712</x:v>
      </x:c>
      <x:c r="G24" s="9" t="n">
        <x:f>'Допущения'!C35*'Допущения'!$B$8*'Допущения'!D35*$B24*(1+'Допущения'!$B$13)^1</x:f>
        <x:v>164409.70332203386</x:v>
      </x:c>
      <x:c r="H24" s="9" t="n">
        <x:f>'Допущения'!C36*'Допущения'!$B$8*'Допущения'!D36*$B24*(1+'Допущения'!$B$13)^1</x:f>
        <x:v>15223.120677966102</x:v>
      </x:c>
      <x:c r="I24" s="9" t="n">
        <x:f>'Допущения'!C37*'Допущения'!$B$8*'Допущения'!D37*$B24*(1+'Допущения'!$B$13)^1</x:f>
        <x:v>0</x:v>
      </x:c>
      <x:c r="J24" s="7" t="n">
        <x:f>SUM(C24:I24)</x:f>
        <x:v>1049199.2244406778</x:v>
      </x:c>
      <x:c r="K24" s="9" t="n">
        <x:f>J24/(1+'Допущения'!$B$9)</x:f>
        <x:v>999237.3566101693</x:v>
      </x:c>
      <x:c r="L24" s="9" t="n">
        <x:f>C24/(1+'Допущения'!$B$9)*'Допущения'!E31+'Допущения'!C31*'Допущения'!$B$8*$B24*'Допущения'!F31*(1+'Допущения'!$B$14)^1+D24/(1+'Допущения'!$B$9)*'Допущения'!E32+'Допущения'!C32*'Допущения'!$B$8*$B24*'Допущения'!F32*(1+'Допущения'!$B$14)^1+E24/(1+'Допущения'!$B$9)*'Допущения'!E33+'Допущения'!C33*'Допущения'!$B$8*$B24*'Допущения'!F33*(1+'Допущения'!$B$14)^1+F24/(1+'Допущения'!$B$9)*'Допущения'!E34+'Допущения'!C34*'Допущения'!$B$8*$B24*'Допущения'!F34*(1+'Допущения'!$B$14)^1+G24/(1+'Допущения'!$B$9)*'Допущения'!E35+'Допущения'!C35*'Допущения'!$B$8*$B24*'Допущения'!F35*(1+'Допущения'!$B$14)^1+H24/(1+'Допущения'!$B$9)*'Допущения'!E36+'Допущения'!C36*'Допущения'!$B$8*$B24*'Допущения'!F36*(1+'Допущения'!$B$14)^1+I24/(1+'Допущения'!$B$9)*'Допущения'!E37+'Допущения'!C37*'Допущения'!$B$8*$B24*'Допущения'!F37*(1+'Допущения'!$B$14)^1</x:f>
        <x:v>116741.65945762709</x:v>
      </x:c>
      <x:c r="M24" s="9" t="n">
        <x:f>J24*'Допущения'!$B$11</x:f>
        <x:v>20983.984488813556</x:v>
      </x:c>
      <x:c r="N24" s="9" t="n">
        <x:f>'Инвестиции'!$C$35*(1+'Допущения'!$B$14)^1</x:f>
        <x:v>581206.0205</x:v>
      </x:c>
      <x:c r="O24" s="9" t="n">
        <x:f>K24*'Допущения'!$B$10</x:f>
        <x:v>59954.24139661015</x:v>
      </x:c>
      <x:c r="P24" s="9" t="n">
        <x:f>K24*'Допущения'!$B$12</x:f>
        <x:v>19984.747132203385</x:v>
      </x:c>
      <x:c r="Q24" s="7" t="n">
        <x:f>K24-L24-M24-N24</x:f>
        <x:v>280305.69216372864</x:v>
      </x:c>
      <x:c r="R24" s="7" t="n">
        <x:f>Q24-O24-P24</x:f>
        <x:v>200366.7036349151</x:v>
      </x:c>
      <x:c r="S24" s="7" t="n">
        <x:f>S23+R24</x:f>
        <x:v>2714.3818093451264</x:v>
      </x:c>
      <x:c r="T24" s="7" t="n">
        <x:f>IF(S24&gt;=0,A24,999)</x:f>
        <x:v>18</x:v>
      </x:c>
      <x:c r="U24" s="22" t="n">
        <x:f>'Допущения'!C31*'Допущения'!$B$8*B24*'Допущения'!$B$17/'Допущения'!$B$18/'Допущения'!$B$16</x:f>
        <x:v>4.318751926040061</x:v>
      </x:c>
      <x:c r="V24" s="7"/>
      <x:c r="W24" s="7"/>
    </x:row>
    <x:row r="25" ht="23" customHeight="1">
      <x:c r="A25" s="1" t="n">
        <x:v>19</x:v>
      </x:c>
      <x:c r="B25" s="17" t="n">
        <x:f>'Допущения'!C48*'Допущения'!D53</x:f>
        <x:v>0.7627118644067796</x:v>
      </x:c>
      <x:c r="C25" s="9" t="n">
        <x:f>'Допущения'!C31*'Допущения'!$B$8*'Допущения'!D31*$B25*(1+'Допущения'!$B$13)^1</x:f>
        <x:v>681545.3262711865</x:v>
      </x:c>
      <x:c r="D25" s="9" t="n">
        <x:f>'Допущения'!C32*'Допущения'!$B$8*'Допущения'!D32*$B25*(1+'Допущения'!$B$13)^1</x:f>
        <x:v>29358.87559322034</x:v>
      </x:c>
      <x:c r="E25" s="9" t="n">
        <x:f>'Допущения'!C33*'Допущения'!$B$8*'Допущения'!D33*$B25*(1+'Допущения'!$B$13)^1</x:f>
        <x:v>110095.78347457625</x:v>
      </x:c>
      <x:c r="F25" s="9" t="n">
        <x:f>'Допущения'!C34*'Допущения'!$B$8*'Допущения'!D34*$B25*(1+'Допущения'!$B$13)^1</x:f>
        <x:v>110678.30084745765</x:v>
      </x:c>
      <x:c r="G25" s="9" t="n">
        <x:f>'Допущения'!C35*'Допущения'!$B$8*'Допущения'!D35*$B25*(1+'Допущения'!$B$13)^1</x:f>
        <x:v>176153.25355932204</x:v>
      </x:c>
      <x:c r="H25" s="9" t="n">
        <x:f>'Допущения'!C36*'Допущения'!$B$8*'Допущения'!D36*$B25*(1+'Допущения'!$B$13)^1</x:f>
        <x:v>16310.486440677969</x:v>
      </x:c>
      <x:c r="I25" s="9" t="n">
        <x:f>'Допущения'!C37*'Допущения'!$B$8*'Допущения'!D37*$B25*(1+'Допущения'!$B$13)^1</x:f>
        <x:v>0</x:v>
      </x:c>
      <x:c r="J25" s="7" t="n">
        <x:f>SUM(C25:I25)</x:f>
        <x:v>1124142.0261864406</x:v>
      </x:c>
      <x:c r="K25" s="9" t="n">
        <x:f>J25/(1+'Допущения'!$B$9)</x:f>
        <x:v>1070611.4535108958</x:v>
      </x:c>
      <x:c r="L25" s="9" t="n">
        <x:f>C25/(1+'Допущения'!$B$9)*'Допущения'!E31+'Допущения'!C31*'Допущения'!$B$8*$B25*'Допущения'!F31*(1+'Допущения'!$B$14)^1+D25/(1+'Допущения'!$B$9)*'Допущения'!E32+'Допущения'!C32*'Допущения'!$B$8*$B25*'Допущения'!F32*(1+'Допущения'!$B$14)^1+E25/(1+'Допущения'!$B$9)*'Допущения'!E33+'Допущения'!C33*'Допущения'!$B$8*$B25*'Допущения'!F33*(1+'Допущения'!$B$14)^1+F25/(1+'Допущения'!$B$9)*'Допущения'!E34+'Допущения'!C34*'Допущения'!$B$8*$B25*'Допущения'!F34*(1+'Допущения'!$B$14)^1+G25/(1+'Допущения'!$B$9)*'Допущения'!E35+'Допущения'!C35*'Допущения'!$B$8*$B25*'Допущения'!F35*(1+'Допущения'!$B$14)^1+H25/(1+'Допущения'!$B$9)*'Допущения'!E36+'Допущения'!C36*'Допущения'!$B$8*$B25*'Допущения'!F36*(1+'Допущения'!$B$14)^1+I25/(1+'Допущения'!$B$9)*'Допущения'!E37+'Допущения'!C37*'Допущения'!$B$8*$B25*'Допущения'!F37*(1+'Допущения'!$B$14)^1</x:f>
        <x:v>125080.34941888618</x:v>
      </x:c>
      <x:c r="M25" s="9" t="n">
        <x:f>J25*'Допущения'!$B$11</x:f>
        <x:v>22482.840523728813</x:v>
      </x:c>
      <x:c r="N25" s="9" t="n">
        <x:f>'Инвестиции'!$C$35*(1+'Допущения'!$B$14)^1</x:f>
        <x:v>581206.0205</x:v>
      </x:c>
      <x:c r="O25" s="9" t="n">
        <x:f>K25*'Допущения'!$B$10</x:f>
        <x:v>64236.68721065375</x:v>
      </x:c>
      <x:c r="P25" s="9" t="n">
        <x:f>K25*'Допущения'!$B$12</x:f>
        <x:v>21412.229070217916</x:v>
      </x:c>
      <x:c r="Q25" s="7" t="n">
        <x:f>K25-L25-M25-N25</x:f>
        <x:v>341842.24306828075</x:v>
      </x:c>
      <x:c r="R25" s="7" t="n">
        <x:f>Q25-O25-P25</x:f>
        <x:v>256193.32678740908</x:v>
      </x:c>
      <x:c r="S25" s="7" t="n">
        <x:f>S24+R25</x:f>
        <x:v>258907.7085967542</x:v>
      </x:c>
      <x:c r="T25" s="7" t="n">
        <x:f>IF(S25&gt;=0,A25,999)</x:f>
        <x:v>19</x:v>
      </x:c>
      <x:c r="U25" s="22" t="n">
        <x:f>'Допущения'!C31*'Допущения'!$B$8*B25*'Допущения'!$B$17/'Допущения'!$B$18/'Допущения'!$B$16</x:f>
        <x:v>4.627234206471495</x:v>
      </x:c>
      <x:c r="V25" s="7"/>
      <x:c r="W25" s="7"/>
    </x:row>
    <x:row r="26" ht="23" customHeight="1">
      <x:c r="A26" s="1" t="n">
        <x:v>20</x:v>
      </x:c>
      <x:c r="B26" s="17" t="n">
        <x:f>'Допущения'!C49*'Допущения'!D53</x:f>
        <x:v>0.8135593220338982</x:v>
      </x:c>
      <x:c r="C26" s="9" t="n">
        <x:f>'Допущения'!C31*'Допущения'!$B$8*'Допущения'!D31*$B26*(1+'Допущения'!$B$13)^1</x:f>
        <x:v>726981.6813559321</x:v>
      </x:c>
      <x:c r="D26" s="9" t="n">
        <x:f>'Допущения'!C32*'Допущения'!$B$8*'Допущения'!D32*$B26*(1+'Допущения'!$B$13)^1</x:f>
        <x:v>31316.13396610169</x:v>
      </x:c>
      <x:c r="E26" s="9" t="n">
        <x:f>'Допущения'!C33*'Допущения'!$B$8*'Допущения'!D33*$B26*(1+'Допущения'!$B$13)^1</x:f>
        <x:v>117435.50237288132</x:v>
      </x:c>
      <x:c r="F26" s="9" t="n">
        <x:f>'Допущения'!C34*'Допущения'!$B$8*'Допущения'!D34*$B26*(1+'Допущения'!$B$13)^1</x:f>
        <x:v>118056.85423728815</x:v>
      </x:c>
      <x:c r="G26" s="9" t="n">
        <x:f>'Допущения'!C35*'Допущения'!$B$8*'Допущения'!D35*$B26*(1+'Допущения'!$B$13)^1</x:f>
        <x:v>187896.80379661015</x:v>
      </x:c>
      <x:c r="H26" s="9" t="n">
        <x:f>'Допущения'!C36*'Допущения'!$B$8*'Допущения'!D36*$B26*(1+'Допущения'!$B$13)^1</x:f>
        <x:v>17397.852203389833</x:v>
      </x:c>
      <x:c r="I26" s="9" t="n">
        <x:f>'Допущения'!C37*'Допущения'!$B$8*'Допущения'!D37*$B26*(1+'Допущения'!$B$13)^1</x:f>
        <x:v>0</x:v>
      </x:c>
      <x:c r="J26" s="7" t="n">
        <x:f>SUM(C26:I26)</x:f>
        <x:v>1199084.8279322032</x:v>
      </x:c>
      <x:c r="K26" s="9" t="n">
        <x:f>J26/(1+'Допущения'!$B$9)</x:f>
        <x:v>1141985.550411622</x:v>
      </x:c>
      <x:c r="L26" s="9" t="n">
        <x:f>C26/(1+'Допущения'!$B$9)*'Допущения'!E31+'Допущения'!C31*'Допущения'!$B$8*$B26*'Допущения'!F31*(1+'Допущения'!$B$14)^1+D26/(1+'Допущения'!$B$9)*'Допущения'!E32+'Допущения'!C32*'Допущения'!$B$8*$B26*'Допущения'!F32*(1+'Допущения'!$B$14)^1+E26/(1+'Допущения'!$B$9)*'Допущения'!E33+'Допущения'!C33*'Допущения'!$B$8*$B26*'Допущения'!F33*(1+'Допущения'!$B$14)^1+F26/(1+'Допущения'!$B$9)*'Допущения'!E34+'Допущения'!C34*'Допущения'!$B$8*$B26*'Допущения'!F34*(1+'Допущения'!$B$14)^1+G26/(1+'Допущения'!$B$9)*'Допущения'!E35+'Допущения'!C35*'Допущения'!$B$8*$B26*'Допущения'!F35*(1+'Допущения'!$B$14)^1+H26/(1+'Допущения'!$B$9)*'Допущения'!E36+'Допущения'!C36*'Допущения'!$B$8*$B26*'Допущения'!F36*(1+'Допущения'!$B$14)^1+I26/(1+'Допущения'!$B$9)*'Допущения'!E37+'Допущения'!C37*'Допущения'!$B$8*$B26*'Допущения'!F37*(1+'Допущения'!$B$14)^1</x:f>
        <x:v>133419.03938014526</x:v>
      </x:c>
      <x:c r="M26" s="9" t="n">
        <x:f>J26*'Допущения'!$B$11</x:f>
        <x:v>23981.696558644064</x:v>
      </x:c>
      <x:c r="N26" s="9" t="n">
        <x:f>'Инвестиции'!$C$35*(1+'Допущения'!$B$14)^1</x:f>
        <x:v>581206.0205</x:v>
      </x:c>
      <x:c r="O26" s="9" t="n">
        <x:f>K26*'Допущения'!$B$10</x:f>
        <x:v>68519.13302469732</x:v>
      </x:c>
      <x:c r="P26" s="9" t="n">
        <x:f>K26*'Допущения'!$B$12</x:f>
        <x:v>22839.71100823244</x:v>
      </x:c>
      <x:c r="Q26" s="7" t="n">
        <x:f>K26-L26-M26-N26</x:f>
        <x:v>403378.79397283273</x:v>
      </x:c>
      <x:c r="R26" s="7" t="n">
        <x:f>Q26-O26-P26</x:f>
        <x:v>312019.949939903</x:v>
      </x:c>
      <x:c r="S26" s="7" t="n">
        <x:f>S25+R26</x:f>
        <x:v>570927.6585366572</x:v>
      </x:c>
      <x:c r="T26" s="7" t="n">
        <x:f>IF(S26&gt;=0,A26,999)</x:f>
        <x:v>20</x:v>
      </x:c>
      <x:c r="U26" s="22" t="n">
        <x:f>'Допущения'!C31*'Допущения'!$B$8*B26*'Допущения'!$B$17/'Допущения'!$B$18/'Допущения'!$B$16</x:f>
        <x:v>4.935716486902928</x:v>
      </x:c>
      <x:c r="V26" s="7"/>
      <x:c r="W26" s="7"/>
    </x:row>
    <x:row r="27" ht="23" customHeight="1">
      <x:c r="A27" s="1" t="n">
        <x:v>21</x:v>
      </x:c>
      <x:c r="B27" s="17" t="n">
        <x:f>'Допущения'!C50*'Допущения'!D53</x:f>
        <x:v>1.0677966101694916</x:v>
      </x:c>
      <x:c r="C27" s="9" t="n">
        <x:f>'Допущения'!C31*'Допущения'!$B$8*'Допущения'!D31*$B27*(1+'Допущения'!$B$13)^1</x:f>
        <x:v>954163.4567796611</x:v>
      </x:c>
      <x:c r="D27" s="9" t="n">
        <x:f>'Допущения'!C32*'Допущения'!$B$8*'Допущения'!D32*$B27*(1+'Допущения'!$B$13)^1</x:f>
        <x:v>41102.42583050847</x:v>
      </x:c>
      <x:c r="E27" s="9" t="n">
        <x:f>'Допущения'!C33*'Допущения'!$B$8*'Допущения'!D33*$B27*(1+'Допущения'!$B$13)^1</x:f>
        <x:v>154134.09686440678</x:v>
      </x:c>
      <x:c r="F27" s="9" t="n">
        <x:f>'Допущения'!C34*'Допущения'!$B$8*'Допущения'!D34*$B27*(1+'Допущения'!$B$13)^1</x:f>
        <x:v>154949.62118644072</x:v>
      </x:c>
      <x:c r="G27" s="9" t="n">
        <x:f>'Допущения'!C35*'Допущения'!$B$8*'Допущения'!D35*$B27*(1+'Допущения'!$B$13)^1</x:f>
        <x:v>246614.55498305085</x:v>
      </x:c>
      <x:c r="H27" s="9" t="n">
        <x:f>'Допущения'!C36*'Допущения'!$B$8*'Допущения'!D36*$B27*(1+'Допущения'!$B$13)^1</x:f>
        <x:v>22834.68101694916</x:v>
      </x:c>
      <x:c r="I27" s="9" t="n">
        <x:f>'Допущения'!C37*'Допущения'!$B$8*'Допущения'!D37*$B27*(1+'Допущения'!$B$13)^1</x:f>
        <x:v>0</x:v>
      </x:c>
      <x:c r="J27" s="7" t="n">
        <x:f>SUM(C27:I27)</x:f>
        <x:v>1573798.8366610173</x:v>
      </x:c>
      <x:c r="K27" s="9" t="n">
        <x:f>J27/(1+'Допущения'!$B$9)</x:f>
        <x:v>1498856.0349152545</x:v>
      </x:c>
      <x:c r="L27" s="9" t="n">
        <x:f>C27/(1+'Допущения'!$B$9)*'Допущения'!E31+'Допущения'!C31*'Допущения'!$B$8*$B27*'Допущения'!F31*(1+'Допущения'!$B$14)^1+D27/(1+'Допущения'!$B$9)*'Допущения'!E32+'Допущения'!C32*'Допущения'!$B$8*$B27*'Допущения'!F32*(1+'Допущения'!$B$14)^1+E27/(1+'Допущения'!$B$9)*'Допущения'!E33+'Допущения'!C33*'Допущения'!$B$8*$B27*'Допущения'!F33*(1+'Допущения'!$B$14)^1+F27/(1+'Допущения'!$B$9)*'Допущения'!E34+'Допущения'!C34*'Допущения'!$B$8*$B27*'Допущения'!F34*(1+'Допущения'!$B$14)^1+G27/(1+'Допущения'!$B$9)*'Допущения'!E35+'Допущения'!C35*'Допущения'!$B$8*$B27*'Допущения'!F35*(1+'Допущения'!$B$14)^1+H27/(1+'Допущения'!$B$9)*'Допущения'!E36+'Допущения'!C36*'Допущения'!$B$8*$B27*'Допущения'!F36*(1+'Допущения'!$B$14)^1+I27/(1+'Допущения'!$B$9)*'Допущения'!E37+'Допущения'!C37*'Допущения'!$B$8*$B27*'Допущения'!F37*(1+'Допущения'!$B$14)^1</x:f>
        <x:v>175112.48918644068</x:v>
      </x:c>
      <x:c r="M27" s="9" t="n">
        <x:f>J27*'Допущения'!$B$11</x:f>
        <x:v>31475.976733220345</x:v>
      </x:c>
      <x:c r="N27" s="9" t="n">
        <x:f>'Инвестиции'!$C$35*(1+'Допущения'!$B$14)^1</x:f>
        <x:v>581206.0205</x:v>
      </x:c>
      <x:c r="O27" s="9" t="n">
        <x:f>K27*'Допущения'!$B$10</x:f>
        <x:v>89931.36209491527</x:v>
      </x:c>
      <x:c r="P27" s="9" t="n">
        <x:f>K27*'Допущения'!$B$12</x:f>
        <x:v>29977.12069830509</x:v>
      </x:c>
      <x:c r="Q27" s="7" t="n">
        <x:f>K27-L27-M27-N27</x:f>
        <x:v>711061.5484955936</x:v>
      </x:c>
      <x:c r="R27" s="7" t="n">
        <x:f>Q27-O27-P27</x:f>
        <x:v>591153.0657023733</x:v>
      </x:c>
      <x:c r="S27" s="7" t="n">
        <x:f>S26+R27</x:f>
        <x:v>1162080.7242390304</x:v>
      </x:c>
      <x:c r="T27" s="7" t="n">
        <x:f>IF(S27&gt;=0,A27,999)</x:f>
        <x:v>21</x:v>
      </x:c>
      <x:c r="U27" s="22" t="n">
        <x:f>'Допущения'!C31*'Допущения'!$B$8*B27*'Допущения'!$B$17/'Допущения'!$B$18/'Допущения'!$B$16</x:f>
        <x:v>6.478127889060094</x:v>
      </x:c>
      <x:c r="V27" s="7"/>
      <x:c r="W27" s="7"/>
    </x:row>
    <x:row r="28" ht="23" customHeight="1">
      <x:c r="A28" s="1" t="n">
        <x:v>22</x:v>
      </x:c>
      <x:c r="B28" s="17" t="n">
        <x:f>'Допущения'!C51*'Допущения'!D53</x:f>
        <x:v>1.1694915254237286</x:v>
      </x:c>
      <x:c r="C28" s="9" t="n">
        <x:f>'Допущения'!C31*'Допущения'!$B$8*'Допущения'!D31*$B28*(1+'Допущения'!$B$13)^1</x:f>
        <x:v>1045036.1669491524</x:v>
      </x:c>
      <x:c r="D28" s="9" t="n">
        <x:f>'Допущения'!C32*'Допущения'!$B$8*'Допущения'!D32*$B28*(1+'Допущения'!$B$13)^1</x:f>
        <x:v>45016.942576271176</x:v>
      </x:c>
      <x:c r="E28" s="9" t="n">
        <x:f>'Допущения'!C33*'Допущения'!$B$8*'Допущения'!D33*$B28*(1+'Допущения'!$B$13)^1</x:f>
        <x:v>168813.5346610169</x:v>
      </x:c>
      <x:c r="F28" s="9" t="n">
        <x:f>'Допущения'!C34*'Допущения'!$B$8*'Допущения'!D34*$B28*(1+'Допущения'!$B$13)^1</x:f>
        <x:v>169706.7279661017</x:v>
      </x:c>
      <x:c r="G28" s="9" t="n">
        <x:f>'Допущения'!C35*'Допущения'!$B$8*'Допущения'!D35*$B28*(1+'Допущения'!$B$13)^1</x:f>
        <x:v>270101.6554576271</x:v>
      </x:c>
      <x:c r="H28" s="9" t="n">
        <x:f>'Допущения'!C36*'Допущения'!$B$8*'Допущения'!D36*$B28*(1+'Допущения'!$B$13)^1</x:f>
        <x:v>25009.412542372884</x:v>
      </x:c>
      <x:c r="I28" s="9" t="n">
        <x:f>'Допущения'!C37*'Допущения'!$B$8*'Допущения'!D37*$B28*(1+'Допущения'!$B$13)^1</x:f>
        <x:v>0</x:v>
      </x:c>
      <x:c r="J28" s="7" t="n">
        <x:f>SUM(C28:I28)</x:f>
        <x:v>1723684.440152542</x:v>
      </x:c>
      <x:c r="K28" s="9" t="n">
        <x:f>J28/(1+'Допущения'!$B$9)</x:f>
        <x:v>1641604.2287167066</x:v>
      </x:c>
      <x:c r="L28" s="9" t="n">
        <x:f>C28/(1+'Допущения'!$B$9)*'Допущения'!E31+'Допущения'!C31*'Допущения'!$B$8*$B28*'Допущения'!F31*(1+'Допущения'!$B$14)^1+D28/(1+'Допущения'!$B$9)*'Допущения'!E32+'Допущения'!C32*'Допущения'!$B$8*$B28*'Допущения'!F32*(1+'Допущения'!$B$14)^1+E28/(1+'Допущения'!$B$9)*'Допущения'!E33+'Допущения'!C33*'Допущения'!$B$8*$B28*'Допущения'!F33*(1+'Допущения'!$B$14)^1+F28/(1+'Допущения'!$B$9)*'Допущения'!E34+'Допущения'!C34*'Допущения'!$B$8*$B28*'Допущения'!F34*(1+'Допущения'!$B$14)^1+G28/(1+'Допущения'!$B$9)*'Допущения'!E35+'Допущения'!C35*'Допущения'!$B$8*$B28*'Допущения'!F35*(1+'Допущения'!$B$14)^1+H28/(1+'Допущения'!$B$9)*'Допущения'!E36+'Допущения'!C36*'Допущения'!$B$8*$B28*'Допущения'!F36*(1+'Допущения'!$B$14)^1+I28/(1+'Допущения'!$B$9)*'Допущения'!E37+'Допущения'!C37*'Допущения'!$B$8*$B28*'Допущения'!F37*(1+'Допущения'!$B$14)^1</x:f>
        <x:v>191789.8691089588</x:v>
      </x:c>
      <x:c r="M28" s="9" t="n">
        <x:f>J28*'Допущения'!$B$11</x:f>
        <x:v>34473.68880305084</x:v>
      </x:c>
      <x:c r="N28" s="9" t="n">
        <x:f>'Инвестиции'!$C$35*(1+'Допущения'!$B$14)^1</x:f>
        <x:v>581206.0205</x:v>
      </x:c>
      <x:c r="O28" s="9" t="n">
        <x:f>K28*'Допущения'!$B$10</x:f>
        <x:v>98496.25372300239</x:v>
      </x:c>
      <x:c r="P28" s="9" t="n">
        <x:f>K28*'Допущения'!$B$12</x:f>
        <x:v>32832.084574334134</x:v>
      </x:c>
      <x:c r="Q28" s="7" t="n">
        <x:f>K28-L28-M28-N28</x:f>
        <x:v>834134.6503046969</x:v>
      </x:c>
      <x:c r="R28" s="7" t="n">
        <x:f>Q28-O28-P28</x:f>
        <x:v>702806.3120073604</x:v>
      </x:c>
      <x:c r="S28" s="7" t="n">
        <x:f>S27+R28</x:f>
        <x:v>1864887.0362463908</x:v>
      </x:c>
      <x:c r="T28" s="7" t="n">
        <x:f>IF(S28&gt;=0,A28,999)</x:f>
        <x:v>22</x:v>
      </x:c>
      <x:c r="U28" s="22" t="n">
        <x:f>'Допущения'!C31*'Допущения'!$B$8*B28*'Допущения'!$B$17/'Допущения'!$B$18/'Допущения'!$B$16</x:f>
        <x:v>7.095092449922958</x:v>
      </x:c>
      <x:c r="V28" s="7"/>
      <x:c r="W28" s="7"/>
    </x:row>
    <x:row r="29" ht="23" customHeight="1">
      <x:c r="A29" s="1" t="n">
        <x:v>23</x:v>
      </x:c>
      <x:c r="B29" s="17" t="n">
        <x:f>'Допущения'!C52*'Допущения'!D53</x:f>
        <x:v>1.2203389830508473</x:v>
      </x:c>
      <x:c r="C29" s="9" t="n">
        <x:f>'Допущения'!C31*'Допущения'!$B$8*'Допущения'!D31*$B29*(1+'Допущения'!$B$13)^1</x:f>
        <x:v>1090472.5220338982</x:v>
      </x:c>
      <x:c r="D29" s="9" t="n">
        <x:f>'Допущения'!C32*'Допущения'!$B$8*'Допущения'!D32*$B29*(1+'Допущения'!$B$13)^1</x:f>
        <x:v>46974.20094915253</x:v>
      </x:c>
      <x:c r="E29" s="9" t="n">
        <x:f>'Допущения'!C33*'Допущения'!$B$8*'Допущения'!D33*$B29*(1+'Допущения'!$B$13)^1</x:f>
        <x:v>176153.25355932198</x:v>
      </x:c>
      <x:c r="F29" s="9" t="n">
        <x:f>'Допущения'!C34*'Допущения'!$B$8*'Допущения'!D34*$B29*(1+'Допущения'!$B$13)^1</x:f>
        <x:v>177085.2813559322</x:v>
      </x:c>
      <x:c r="G29" s="9" t="n">
        <x:f>'Допущения'!C35*'Допущения'!$B$8*'Допущения'!D35*$B29*(1+'Допущения'!$B$13)^1</x:f>
        <x:v>281845.2056949152</x:v>
      </x:c>
      <x:c r="H29" s="9" t="n">
        <x:f>'Допущения'!C36*'Допущения'!$B$8*'Допущения'!D36*$B29*(1+'Допущения'!$B$13)^1</x:f>
        <x:v>26096.778305084747</x:v>
      </x:c>
      <x:c r="I29" s="9" t="n">
        <x:f>'Допущения'!C37*'Допущения'!$B$8*'Допущения'!D37*$B29*(1+'Допущения'!$B$13)^1</x:f>
        <x:v>0</x:v>
      </x:c>
      <x:c r="J29" s="7" t="n">
        <x:f>SUM(C29:I29)</x:f>
        <x:v>1798627.2418983048</x:v>
      </x:c>
      <x:c r="K29" s="9" t="n">
        <x:f>J29/(1+'Допущения'!$B$9)</x:f>
        <x:v>1712978.325617433</x:v>
      </x:c>
      <x:c r="L29" s="9" t="n">
        <x:f>C29/(1+'Допущения'!$B$9)*'Допущения'!E31+'Допущения'!C31*'Допущения'!$B$8*$B29*'Допущения'!F31*(1+'Допущения'!$B$14)^1+D29/(1+'Допущения'!$B$9)*'Допущения'!E32+'Допущения'!C32*'Допущения'!$B$8*$B29*'Допущения'!F32*(1+'Допущения'!$B$14)^1+E29/(1+'Допущения'!$B$9)*'Допущения'!E33+'Допущения'!C33*'Допущения'!$B$8*$B29*'Допущения'!F33*(1+'Допущения'!$B$14)^1+F29/(1+'Допущения'!$B$9)*'Допущения'!E34+'Допущения'!C34*'Допущения'!$B$8*$B29*'Допущения'!F34*(1+'Допущения'!$B$14)^1+G29/(1+'Допущения'!$B$9)*'Допущения'!E35+'Допущения'!C35*'Допущения'!$B$8*$B29*'Допущения'!F35*(1+'Допущения'!$B$14)^1+H29/(1+'Допущения'!$B$9)*'Допущения'!E36+'Допущения'!C36*'Допущения'!$B$8*$B29*'Допущения'!F36*(1+'Допущения'!$B$14)^1+I29/(1+'Допущения'!$B$9)*'Допущения'!E37+'Допущения'!C37*'Допущения'!$B$8*$B29*'Допущения'!F37*(1+'Допущения'!$B$14)^1</x:f>
        <x:v>200128.5590702179</x:v>
      </x:c>
      <x:c r="M29" s="9" t="n">
        <x:f>J29*'Допущения'!$B$11</x:f>
        <x:v>35972.544837966096</x:v>
      </x:c>
      <x:c r="N29" s="9" t="n">
        <x:f>'Инвестиции'!$C$35*(1+'Допущения'!$B$14)^1</x:f>
        <x:v>581206.0205</x:v>
      </x:c>
      <x:c r="O29" s="9" t="n">
        <x:f>K29*'Допущения'!$B$10</x:f>
        <x:v>102778.69953704598</x:v>
      </x:c>
      <x:c r="P29" s="9" t="n">
        <x:f>K29*'Допущения'!$B$12</x:f>
        <x:v>34259.56651234866</x:v>
      </x:c>
      <x:c r="Q29" s="7" t="n">
        <x:f>K29-L29-M29-N29</x:f>
        <x:v>895671.2012092491</x:v>
      </x:c>
      <x:c r="R29" s="7" t="n">
        <x:f>Q29-O29-P29</x:f>
        <x:v>758632.9351598544</x:v>
      </x:c>
      <x:c r="S29" s="7" t="n">
        <x:f>S28+R29</x:f>
        <x:v>2623519.971406245</x:v>
      </x:c>
      <x:c r="T29" s="7" t="n">
        <x:f>IF(S29&gt;=0,A29,999)</x:f>
        <x:v>23</x:v>
      </x:c>
      <x:c r="U29" s="22" t="n">
        <x:f>'Допущения'!C31*'Допущения'!$B$8*B29*'Допущения'!$B$17/'Допущения'!$B$18/'Допущения'!$B$16</x:f>
        <x:v>7.403574730354389</x:v>
      </x:c>
      <x:c r="V29" s="7"/>
      <x:c r="W29" s="7"/>
    </x:row>
    <x:row r="30" ht="23" customHeight="1">
      <x:c r="A30" s="1" t="n">
        <x:v>24</x:v>
      </x:c>
      <x:c r="B30" s="17" t="n">
        <x:f>'Допущения'!C53*'Допущения'!D53</x:f>
        <x:v>1.271186440677966</x:v>
      </x:c>
      <x:c r="C30" s="9" t="n">
        <x:f>'Допущения'!C31*'Допущения'!$B$8*'Допущения'!D31*$B30*(1+'Допущения'!$B$13)^1</x:f>
        <x:v>1135908.877118644</x:v>
      </x:c>
      <x:c r="D30" s="9" t="n">
        <x:f>'Допущения'!C32*'Допущения'!$B$8*'Допущения'!D32*$B30*(1+'Допущения'!$B$13)^1</x:f>
        <x:v>48931.459322033894</x:v>
      </x:c>
      <x:c r="E30" s="9" t="n">
        <x:f>'Допущения'!C33*'Допущения'!$B$8*'Допущения'!D33*$B30*(1+'Допущения'!$B$13)^1</x:f>
        <x:v>183492.97245762707</x:v>
      </x:c>
      <x:c r="F30" s="9" t="n">
        <x:f>'Допущения'!C34*'Допущения'!$B$8*'Допущения'!D34*$B30*(1+'Допущения'!$B$13)^1</x:f>
        <x:v>184463.83474576272</x:v>
      </x:c>
      <x:c r="G30" s="9" t="n">
        <x:f>'Допущения'!C35*'Допущения'!$B$8*'Допущения'!D35*$B30*(1+'Допущения'!$B$13)^1</x:f>
        <x:v>293588.7559322034</x:v>
      </x:c>
      <x:c r="H30" s="9" t="n">
        <x:f>'Допущения'!C36*'Допущения'!$B$8*'Допущения'!D36*$B30*(1+'Допущения'!$B$13)^1</x:f>
        <x:v>27184.144067796613</x:v>
      </x:c>
      <x:c r="I30" s="9" t="n">
        <x:f>'Допущения'!C37*'Допущения'!$B$8*'Допущения'!D37*$B30*(1+'Допущения'!$B$13)^1</x:f>
        <x:v>0</x:v>
      </x:c>
      <x:c r="J30" s="7" t="n">
        <x:f>SUM(C30:I30)</x:f>
        <x:v>1873570.0436440676</x:v>
      </x:c>
      <x:c r="K30" s="9" t="n">
        <x:f>J30/(1+'Допущения'!$B$9)</x:f>
        <x:v>1784352.4225181595</x:v>
      </x:c>
      <x:c r="L30" s="9" t="n">
        <x:f>C30/(1+'Допущения'!$B$9)*'Допущения'!E31+'Допущения'!C31*'Допущения'!$B$8*$B30*'Допущения'!F31*(1+'Допущения'!$B$14)^1+D30/(1+'Допущения'!$B$9)*'Допущения'!E32+'Допущения'!C32*'Допущения'!$B$8*$B30*'Допущения'!F32*(1+'Допущения'!$B$14)^1+E30/(1+'Допущения'!$B$9)*'Допущения'!E33+'Допущения'!C33*'Допущения'!$B$8*$B30*'Допущения'!F33*(1+'Допущения'!$B$14)^1+F30/(1+'Допущения'!$B$9)*'Допущения'!E34+'Допущения'!C34*'Допущения'!$B$8*$B30*'Допущения'!F34*(1+'Допущения'!$B$14)^1+G30/(1+'Допущения'!$B$9)*'Допущения'!E35+'Допущения'!C35*'Допущения'!$B$8*$B30*'Допущения'!F35*(1+'Допущения'!$B$14)^1+H30/(1+'Допущения'!$B$9)*'Допущения'!E36+'Допущения'!C36*'Допущения'!$B$8*$B30*'Допущения'!F36*(1+'Допущения'!$B$14)^1+I30/(1+'Допущения'!$B$9)*'Допущения'!E37+'Допущения'!C37*'Допущения'!$B$8*$B30*'Допущения'!F37*(1+'Допущения'!$B$14)^1</x:f>
        <x:v>208467.24903147697</x:v>
      </x:c>
      <x:c r="M30" s="9" t="n">
        <x:f>J30*'Допущения'!$B$11</x:f>
        <x:v>37471.40087288135</x:v>
      </x:c>
      <x:c r="N30" s="9" t="n">
        <x:f>'Инвестиции'!$C$35*(1+'Допущения'!$B$14)^1</x:f>
        <x:v>581206.0205</x:v>
      </x:c>
      <x:c r="O30" s="9" t="n">
        <x:f>K30*'Допущения'!$B$10</x:f>
        <x:v>107061.14535108957</x:v>
      </x:c>
      <x:c r="P30" s="9" t="n">
        <x:f>K30*'Допущения'!$B$12</x:f>
        <x:v>35687.04845036319</x:v>
      </x:c>
      <x:c r="Q30" s="7" t="n">
        <x:f>K30-L30-M30-N30</x:f>
        <x:v>957207.7521138013</x:v>
      </x:c>
      <x:c r="R30" s="7" t="n">
        <x:f>Q30-O30-P30</x:f>
        <x:v>814459.5583123486</x:v>
      </x:c>
      <x:c r="S30" s="7" t="n">
        <x:f>S29+R30</x:f>
        <x:v>3437979.5297185937</x:v>
      </x:c>
      <x:c r="T30" s="7" t="n">
        <x:f>IF(S30&gt;=0,A30,999)</x:f>
        <x:v>24</x:v>
      </x:c>
      <x:c r="U30" s="22" t="n">
        <x:f>'Допущения'!C31*'Допущения'!$B$8*B30*'Допущения'!$B$17/'Допущения'!$B$18/'Допущения'!$B$16</x:f>
        <x:v>7.7120570107858235</x:v>
      </x:c>
      <x:c r="V30" s="7"/>
      <x:c r="W30" s="7"/>
    </x:row>
    <x:row r="31" ht="23" customHeight="1">
      <x:c r="A31" s="1" t="n">
        <x:v>25</x:v>
      </x:c>
      <x:c r="B31" s="17" t="n">
        <x:f>'Допущения'!C42*'Допущения'!D53</x:f>
        <x:v>1.1186440677966103</x:v>
      </x:c>
      <x:c r="C31" s="9" t="n">
        <x:f>'Допущения'!C31*'Допущения'!$B$8*'Допущения'!D31*$B31*(1+'Допущения'!$B$13)^2</x:f>
        <x:v>1029587.806220339</x:v>
      </x:c>
      <x:c r="D31" s="9" t="n">
        <x:f>'Допущения'!C32*'Допущения'!$B$8*'Допущения'!D32*$B31*(1+'Допущения'!$B$13)^2</x:f>
        <x:v>44351.47472949153</x:v>
      </x:c>
      <x:c r="E31" s="9" t="n">
        <x:f>'Допущения'!C33*'Допущения'!$B$8*'Допущения'!D33*$B31*(1+'Допущения'!$B$13)^2</x:f>
        <x:v>166318.0302355932</x:v>
      </x:c>
      <x:c r="F31" s="9" t="n">
        <x:f>'Допущения'!C34*'Допущения'!$B$8*'Допущения'!D34*$B31*(1+'Допущения'!$B$13)^2</x:f>
        <x:v>167198.01981355937</x:v>
      </x:c>
      <x:c r="G31" s="9" t="n">
        <x:f>'Допущения'!C35*'Допущения'!$B$8*'Допущения'!D35*$B31*(1+'Допущения'!$B$13)^2</x:f>
        <x:v>266108.8483769492</x:v>
      </x:c>
      <x:c r="H31" s="9" t="n">
        <x:f>'Допущения'!C36*'Допущения'!$B$8*'Допущения'!D36*$B31*(1+'Допущения'!$B$13)^2</x:f>
        <x:v>24639.70818305085</x:v>
      </x:c>
      <x:c r="I31" s="9" t="n">
        <x:f>'Допущения'!C37*'Допущения'!$B$8*'Допущения'!D37*$B31*(1+'Допущения'!$B$13)^2</x:f>
        <x:v>0</x:v>
      </x:c>
      <x:c r="J31" s="7" t="n">
        <x:f>SUM(C31:I31)</x:f>
        <x:v>1698203.8875589834</x:v>
      </x:c>
      <x:c r="K31" s="9" t="n">
        <x:f>J31/(1+'Допущения'!$B$9)</x:f>
        <x:v>1617337.0357704603</x:v>
      </x:c>
      <x:c r="L31" s="9" t="n">
        <x:f>C31/(1+'Допущения'!$B$9)*'Допущения'!E31+'Допущения'!C31*'Допущения'!$B$8*$B31*'Допущения'!F31*(1+'Допущения'!$B$14)^2+D31/(1+'Допущения'!$B$9)*'Допущения'!E32+'Допущения'!C32*'Допущения'!$B$8*$B31*'Допущения'!F32*(1+'Допущения'!$B$14)^2+E31/(1+'Допущения'!$B$9)*'Допущения'!E33+'Допущения'!C33*'Допущения'!$B$8*$B31*'Допущения'!F33*(1+'Допущения'!$B$14)^2+F31/(1+'Допущения'!$B$9)*'Допущения'!E34+'Допущения'!C34*'Допущения'!$B$8*$B31*'Допущения'!F34*(1+'Допущения'!$B$14)^2+G31/(1+'Допущения'!$B$9)*'Допущения'!E35+'Допущения'!C35*'Допущения'!$B$8*$B31*'Допущения'!F35*(1+'Допущения'!$B$14)^2+H31/(1+'Допущения'!$B$9)*'Допущения'!E36+'Допущения'!C36*'Допущения'!$B$8*$B31*'Допущения'!F36*(1+'Допущения'!$B$14)^2+I31/(1+'Допущения'!$B$9)*'Допущения'!E37+'Допущения'!C37*'Допущения'!$B$8*$B31*'Допущения'!F37*(1+'Допущения'!$B$14)^2</x:f>
        <x:v>188954.7145221308</x:v>
      </x:c>
      <x:c r="M31" s="9" t="n">
        <x:f>J31*'Допущения'!$B$11</x:f>
        <x:v>33964.07775117967</x:v>
      </x:c>
      <x:c r="N31" s="9" t="n">
        <x:f>'Инвестиции'!$C$35*(1+'Допущения'!$B$14)^2</x:f>
        <x:v>610266.321525</x:v>
      </x:c>
      <x:c r="O31" s="9" t="n">
        <x:f>K31*'Допущения'!$B$10</x:f>
        <x:v>97040.2221462276</x:v>
      </x:c>
      <x:c r="P31" s="9" t="n">
        <x:f>K31*'Допущения'!$B$12</x:f>
        <x:v>32346.740715409207</x:v>
      </x:c>
      <x:c r="Q31" s="7" t="n">
        <x:f>K31-L31-M31-N31</x:f>
        <x:v>784151.9219721498</x:v>
      </x:c>
      <x:c r="R31" s="7" t="n">
        <x:f>Q31-O31-P31</x:f>
        <x:v>654764.959110513</x:v>
      </x:c>
      <x:c r="S31" s="7" t="n">
        <x:f>S30+R31</x:f>
        <x:v>4092744.4888291066</x:v>
      </x:c>
      <x:c r="T31" s="7" t="n">
        <x:f>IF(S31&gt;=0,A31,999)</x:f>
        <x:v>25</x:v>
      </x:c>
      <x:c r="U31" s="22" t="n">
        <x:f>'Допущения'!C31*'Допущения'!$B$8*B31*'Допущения'!$B$17/'Допущения'!$B$18/'Допущения'!$B$16</x:f>
        <x:v>6.786610169491525</x:v>
      </x:c>
      <x:c r="V31" s="7"/>
      <x:c r="W31" s="7"/>
    </x:row>
    <x:row r="32" ht="23" customHeight="1">
      <x:c r="A32" s="1" t="n">
        <x:v>26</x:v>
      </x:c>
      <x:c r="B32" s="17" t="n">
        <x:f>'Допущения'!C43*'Допущения'!D53</x:f>
        <x:v>1.0677966101694916</x:v>
      </x:c>
      <x:c r="C32" s="9" t="n">
        <x:f>'Допущения'!C31*'Допущения'!$B$8*'Допущения'!D31*$B32*(1+'Допущения'!$B$13)^2</x:f>
        <x:v>982788.3604830509</x:v>
      </x:c>
      <x:c r="D32" s="9" t="n">
        <x:f>'Допущения'!C32*'Допущения'!$B$8*'Допущения'!D32*$B32*(1+'Допущения'!$B$13)^2</x:f>
        <x:v>42335.49860542372</x:v>
      </x:c>
      <x:c r="E32" s="9" t="n">
        <x:f>'Допущения'!C33*'Допущения'!$B$8*'Допущения'!D33*$B32*(1+'Допущения'!$B$13)^2</x:f>
        <x:v>158758.11977033896</x:v>
      </x:c>
      <x:c r="F32" s="9" t="n">
        <x:f>'Допущения'!C34*'Допущения'!$B$8*'Допущения'!D34*$B32*(1+'Допущения'!$B$13)^2</x:f>
        <x:v>159598.10982203393</x:v>
      </x:c>
      <x:c r="G32" s="9" t="n">
        <x:f>'Допущения'!C35*'Допущения'!$B$8*'Допущения'!D35*$B32*(1+'Допущения'!$B$13)^2</x:f>
        <x:v>254012.99163254237</x:v>
      </x:c>
      <x:c r="H32" s="9" t="n">
        <x:f>'Допущения'!C36*'Допущения'!$B$8*'Допущения'!D36*$B32*(1+'Допущения'!$B$13)^2</x:f>
        <x:v>23519.721447457632</x:v>
      </x:c>
      <x:c r="I32" s="9" t="n">
        <x:f>'Допущения'!C37*'Допущения'!$B$8*'Допущения'!D37*$B32*(1+'Допущения'!$B$13)^2</x:f>
        <x:v>0</x:v>
      </x:c>
      <x:c r="J32" s="7" t="n">
        <x:f>SUM(C32:I32)</x:f>
        <x:v>1621012.8017608474</x:v>
      </x:c>
      <x:c r="K32" s="9" t="n">
        <x:f>J32/(1+'Допущения'!$B$9)</x:f>
        <x:v>1543821.7159627117</x:v>
      </x:c>
      <x:c r="L32" s="9" t="n">
        <x:f>C32/(1+'Допущения'!$B$9)*'Допущения'!E31+'Допущения'!C31*'Допущения'!$B$8*$B32*'Допущения'!F31*(1+'Допущения'!$B$14)^2+D32/(1+'Допущения'!$B$9)*'Допущения'!E32+'Допущения'!C32*'Допущения'!$B$8*$B32*'Допущения'!F32*(1+'Допущения'!$B$14)^2+E32/(1+'Допущения'!$B$9)*'Допущения'!E33+'Допущения'!C33*'Допущения'!$B$8*$B32*'Допущения'!F33*(1+'Допущения'!$B$14)^2+F32/(1+'Допущения'!$B$9)*'Допущения'!E34+'Допущения'!C34*'Допущения'!$B$8*$B32*'Допущения'!F34*(1+'Допущения'!$B$14)^2+G32/(1+'Допущения'!$B$9)*'Допущения'!E35+'Допущения'!C35*'Допущения'!$B$8*$B32*'Допущения'!F35*(1+'Допущения'!$B$14)^2+H32/(1+'Допущения'!$B$9)*'Допущения'!E36+'Допущения'!C36*'Допущения'!$B$8*$B32*'Допущения'!F36*(1+'Допущения'!$B$14)^2+I32/(1+'Допущения'!$B$9)*'Допущения'!E37+'Допущения'!C37*'Допущения'!$B$8*$B32*'Допущения'!F37*(1+'Допущения'!$B$14)^2</x:f>
        <x:v>180365.8638620339</x:v>
      </x:c>
      <x:c r="M32" s="9" t="n">
        <x:f>J32*'Допущения'!$B$11</x:f>
        <x:v>32420.25603521695</x:v>
      </x:c>
      <x:c r="N32" s="9" t="n">
        <x:f>'Инвестиции'!$C$35*(1+'Допущения'!$B$14)^2</x:f>
        <x:v>610266.321525</x:v>
      </x:c>
      <x:c r="O32" s="9" t="n">
        <x:f>K32*'Допущения'!$B$10</x:f>
        <x:v>92629.3029577627</x:v>
      </x:c>
      <x:c r="P32" s="9" t="n">
        <x:f>K32*'Допущения'!$B$12</x:f>
        <x:v>30876.434319254236</x:v>
      </x:c>
      <x:c r="Q32" s="7" t="n">
        <x:f>K32-L32-M32-N32</x:f>
        <x:v>720769.2745404609</x:v>
      </x:c>
      <x:c r="R32" s="7" t="n">
        <x:f>Q32-O32-P32</x:f>
        <x:v>597263.5372634439</x:v>
      </x:c>
      <x:c r="S32" s="7" t="n">
        <x:f>S31+R32</x:f>
        <x:v>4690008.026092551</x:v>
      </x:c>
      <x:c r="T32" s="7" t="n">
        <x:f>IF(S32&gt;=0,A32,999)</x:f>
        <x:v>26</x:v>
      </x:c>
      <x:c r="U32" s="22" t="n">
        <x:f>'Допущения'!C31*'Допущения'!$B$8*B32*'Допущения'!$B$17/'Допущения'!$B$18/'Допущения'!$B$16</x:f>
        <x:v>6.478127889060094</x:v>
      </x:c>
      <x:c r="V32" s="7"/>
      <x:c r="W32" s="7"/>
    </x:row>
    <x:row r="33" ht="23" customHeight="1">
      <x:c r="A33" s="1" t="n">
        <x:v>27</x:v>
      </x:c>
      <x:c r="B33" s="17" t="n">
        <x:f>'Допущения'!C44*'Допущения'!D53</x:f>
        <x:v>1.0169491525423728</x:v>
      </x:c>
      <x:c r="C33" s="9" t="n">
        <x:f>'Допущения'!C31*'Допущения'!$B$8*'Допущения'!D31*$B33*(1+'Допущения'!$B$13)^2</x:f>
        <x:v>935988.9147457627</x:v>
      </x:c>
      <x:c r="D33" s="9" t="n">
        <x:f>'Допущения'!C32*'Допущения'!$B$8*'Допущения'!D32*$B33*(1+'Допущения'!$B$13)^2</x:f>
        <x:v>40319.522481355925</x:v>
      </x:c>
      <x:c r="E33" s="9" t="n">
        <x:f>'Допущения'!C33*'Допущения'!$B$8*'Допущения'!D33*$B33*(1+'Допущения'!$B$13)^2</x:f>
        <x:v>151198.20930508472</x:v>
      </x:c>
      <x:c r="F33" s="9" t="n">
        <x:f>'Допущения'!C34*'Допущения'!$B$8*'Допущения'!D34*$B33*(1+'Допущения'!$B$13)^2</x:f>
        <x:v>151998.19983050847</x:v>
      </x:c>
      <x:c r="G33" s="9" t="n">
        <x:f>'Допущения'!C35*'Допущения'!$B$8*'Допущения'!D35*$B33*(1+'Допущения'!$B$13)^2</x:f>
        <x:v>241917.13488813557</x:v>
      </x:c>
      <x:c r="H33" s="9" t="n">
        <x:f>'Допущения'!C36*'Допущения'!$B$8*'Допущения'!D36*$B33*(1+'Допущения'!$B$13)^2</x:f>
        <x:v>22399.73471186441</x:v>
      </x:c>
      <x:c r="I33" s="9" t="n">
        <x:f>'Допущения'!C37*'Допущения'!$B$8*'Допущения'!D37*$B33*(1+'Допущения'!$B$13)^2</x:f>
        <x:v>0</x:v>
      </x:c>
      <x:c r="J33" s="7" t="n">
        <x:f>SUM(C33:I33)</x:f>
        <x:v>1543821.715962712</x:v>
      </x:c>
      <x:c r="K33" s="9" t="n">
        <x:f>J33/(1+'Допущения'!$B$9)</x:f>
        <x:v>1470306.3961549636</x:v>
      </x:c>
      <x:c r="L33" s="9" t="n">
        <x:f>C33/(1+'Допущения'!$B$9)*'Допущения'!E31+'Допущения'!C31*'Допущения'!$B$8*$B33*'Допущения'!F31*(1+'Допущения'!$B$14)^2+D33/(1+'Допущения'!$B$9)*'Допущения'!E32+'Допущения'!C32*'Допущения'!$B$8*$B33*'Допущения'!F32*(1+'Допущения'!$B$14)^2+E33/(1+'Допущения'!$B$9)*'Допущения'!E33+'Допущения'!C33*'Допущения'!$B$8*$B33*'Допущения'!F33*(1+'Допущения'!$B$14)^2+F33/(1+'Допущения'!$B$9)*'Допущения'!E34+'Допущения'!C34*'Допущения'!$B$8*$B33*'Допущения'!F34*(1+'Допущения'!$B$14)^2+G33/(1+'Допущения'!$B$9)*'Допущения'!E35+'Допущения'!C35*'Допущения'!$B$8*$B33*'Допущения'!F35*(1+'Допущения'!$B$14)^2+H33/(1+'Допущения'!$B$9)*'Допущения'!E36+'Допущения'!C36*'Допущения'!$B$8*$B33*'Допущения'!F36*(1+'Допущения'!$B$14)^2+I33/(1+'Допущения'!$B$9)*'Допущения'!E37+'Допущения'!C37*'Допущения'!$B$8*$B33*'Допущения'!F37*(1+'Допущения'!$B$14)^2</x:f>
        <x:v>171777.013201937</x:v>
      </x:c>
      <x:c r="M33" s="9" t="n">
        <x:f>J33*'Допущения'!$B$11</x:f>
        <x:v>30876.43431925424</x:v>
      </x:c>
      <x:c r="N33" s="9" t="n">
        <x:f>'Инвестиции'!$C$35*(1+'Допущения'!$B$14)^2</x:f>
        <x:v>610266.321525</x:v>
      </x:c>
      <x:c r="O33" s="9" t="n">
        <x:f>K33*'Допущения'!$B$10</x:f>
        <x:v>88218.38376929781</x:v>
      </x:c>
      <x:c r="P33" s="9" t="n">
        <x:f>K33*'Допущения'!$B$12</x:f>
        <x:v>29406.127923099273</x:v>
      </x:c>
      <x:c r="Q33" s="7" t="n">
        <x:f>K33-L33-M33-N33</x:f>
        <x:v>657386.6271087723</x:v>
      </x:c>
      <x:c r="R33" s="7" t="n">
        <x:f>Q33-O33-P33</x:f>
        <x:v>539762.1154163751</x:v>
      </x:c>
      <x:c r="S33" s="7" t="n">
        <x:f>S32+R33</x:f>
        <x:v>5229770.141508926</x:v>
      </x:c>
      <x:c r="T33" s="7" t="n">
        <x:f>IF(S33&gt;=0,A33,999)</x:f>
        <x:v>27</x:v>
      </x:c>
      <x:c r="U33" s="22" t="n">
        <x:f>'Допущения'!C31*'Допущения'!$B$8*B33*'Допущения'!$B$17/'Допущения'!$B$18/'Допущения'!$B$16</x:f>
        <x:v>6.1696456086286595</x:v>
      </x:c>
      <x:c r="V33" s="7"/>
      <x:c r="W33" s="7"/>
    </x:row>
    <x:row r="34" ht="23" customHeight="1">
      <x:c r="A34" s="1" t="n">
        <x:v>28</x:v>
      </x:c>
      <x:c r="B34" s="17" t="n">
        <x:f>'Допущения'!C45*'Допущения'!D53</x:f>
        <x:v>0.9152542372881356</x:v>
      </x:c>
      <x:c r="C34" s="9" t="n">
        <x:f>'Допущения'!C31*'Допущения'!$B$8*'Допущения'!D31*$B34*(1+'Допущения'!$B$13)^2</x:f>
        <x:v>842390.0232711864</x:v>
      </x:c>
      <x:c r="D34" s="9" t="n">
        <x:f>'Допущения'!C32*'Допущения'!$B$8*'Допущения'!D32*$B34*(1+'Допущения'!$B$13)^2</x:f>
        <x:v>36287.57023322034</x:v>
      </x:c>
      <x:c r="E34" s="9" t="n">
        <x:f>'Допущения'!C33*'Допущения'!$B$8*'Допущения'!D33*$B34*(1+'Допущения'!$B$13)^2</x:f>
        <x:v>136078.38837457623</x:v>
      </x:c>
      <x:c r="F34" s="9" t="n">
        <x:f>'Допущения'!C34*'Допущения'!$B$8*'Допущения'!D34*$B34*(1+'Допущения'!$B$13)^2</x:f>
        <x:v>136798.37984745766</x:v>
      </x:c>
      <x:c r="G34" s="9" t="n">
        <x:f>'Допущения'!C35*'Допущения'!$B$8*'Допущения'!D35*$B34*(1+'Допущения'!$B$13)^2</x:f>
        <x:v>217725.42139932205</x:v>
      </x:c>
      <x:c r="H34" s="9" t="n">
        <x:f>'Допущения'!C36*'Допущения'!$B$8*'Допущения'!D36*$B34*(1+'Допущения'!$B$13)^2</x:f>
        <x:v>20159.76124067797</x:v>
      </x:c>
      <x:c r="I34" s="9" t="n">
        <x:f>'Допущения'!C37*'Допущения'!$B$8*'Допущения'!D37*$B34*(1+'Допущения'!$B$13)^2</x:f>
        <x:v>0</x:v>
      </x:c>
      <x:c r="J34" s="7" t="n">
        <x:f>SUM(C34:I34)</x:f>
        <x:v>1389439.5443664407</x:v>
      </x:c>
      <x:c r="K34" s="9" t="n">
        <x:f>J34/(1+'Допущения'!$B$9)</x:f>
        <x:v>1323275.7565394673</x:v>
      </x:c>
      <x:c r="L34" s="9" t="n">
        <x:f>C34/(1+'Допущения'!$B$9)*'Допущения'!E31+'Допущения'!C31*'Допущения'!$B$8*$B34*'Допущения'!F31*(1+'Допущения'!$B$14)^2+D34/(1+'Допущения'!$B$9)*'Допущения'!E32+'Допущения'!C32*'Допущения'!$B$8*$B34*'Допущения'!F32*(1+'Допущения'!$B$14)^2+E34/(1+'Допущения'!$B$9)*'Допущения'!E33+'Допущения'!C33*'Допущения'!$B$8*$B34*'Допущения'!F33*(1+'Допущения'!$B$14)^2+F34/(1+'Допущения'!$B$9)*'Допущения'!E34+'Допущения'!C34*'Допущения'!$B$8*$B34*'Допущения'!F34*(1+'Допущения'!$B$14)^2+G34/(1+'Допущения'!$B$9)*'Допущения'!E35+'Допущения'!C35*'Допущения'!$B$8*$B34*'Допущения'!F35*(1+'Допущения'!$B$14)^2+H34/(1+'Допущения'!$B$9)*'Допущения'!E36+'Допущения'!C36*'Допущения'!$B$8*$B34*'Допущения'!F36*(1+'Допущения'!$B$14)^2+I34/(1+'Допущения'!$B$9)*'Допущения'!E37+'Допущения'!C37*'Допущения'!$B$8*$B34*'Допущения'!F37*(1+'Допущения'!$B$14)^2</x:f>
        <x:v>154599.31188174334</x:v>
      </x:c>
      <x:c r="M34" s="9" t="n">
        <x:f>J34*'Допущения'!$B$11</x:f>
        <x:v>27788.790887328814</x:v>
      </x:c>
      <x:c r="N34" s="9" t="n">
        <x:f>'Инвестиции'!$C$35*(1+'Допущения'!$B$14)^2</x:f>
        <x:v>610266.321525</x:v>
      </x:c>
      <x:c r="O34" s="9" t="n">
        <x:f>K34*'Допущения'!$B$10</x:f>
        <x:v>79396.54539236803</x:v>
      </x:c>
      <x:c r="P34" s="9" t="n">
        <x:f>K34*'Допущения'!$B$12</x:f>
        <x:v>26465.515130789347</x:v>
      </x:c>
      <x:c r="Q34" s="7" t="n">
        <x:f>K34-L34-M34-N34</x:f>
        <x:v>530621.332245395</x:v>
      </x:c>
      <x:c r="R34" s="7" t="n">
        <x:f>Q34-O34-P34</x:f>
        <x:v>424759.27172223764</x:v>
      </x:c>
      <x:c r="S34" s="7" t="n">
        <x:f>S33+R34</x:f>
        <x:v>5654529.413231163</x:v>
      </x:c>
      <x:c r="T34" s="7" t="n">
        <x:f>IF(S34&gt;=0,A34,999)</x:f>
        <x:v>28</x:v>
      </x:c>
      <x:c r="U34" s="22" t="n">
        <x:f>'Допущения'!C31*'Допущения'!$B$8*B34*'Допущения'!$B$17/'Допущения'!$B$18/'Допущения'!$B$16</x:f>
        <x:v>5.552681047765794</x:v>
      </x:c>
      <x:c r="V34" s="7"/>
      <x:c r="W34" s="7"/>
    </x:row>
    <x:row r="35" ht="23" customHeight="1">
      <x:c r="A35" s="1" t="n">
        <x:v>29</x:v>
      </x:c>
      <x:c r="B35" s="17" t="n">
        <x:f>'Допущения'!C46*'Допущения'!D53</x:f>
        <x:v>0.8644067796610169</x:v>
      </x:c>
      <x:c r="C35" s="9" t="n">
        <x:f>'Допущения'!C31*'Допущения'!$B$8*'Допущения'!D31*$B35*(1+'Допущения'!$B$13)^2</x:f>
        <x:v>795590.5775338983</x:v>
      </x:c>
      <x:c r="D35" s="9" t="n">
        <x:f>'Допущения'!C32*'Допущения'!$B$8*'Допущения'!D32*$B35*(1+'Допущения'!$B$13)^2</x:f>
        <x:v>34271.59410915254</x:v>
      </x:c>
      <x:c r="E35" s="9" t="n">
        <x:f>'Допущения'!C33*'Допущения'!$B$8*'Допущения'!D33*$B35*(1+'Допущения'!$B$13)^2</x:f>
        <x:v>128518.477909322</x:v>
      </x:c>
      <x:c r="F35" s="9" t="n">
        <x:f>'Допущения'!C34*'Допущения'!$B$8*'Допущения'!D34*$B35*(1+'Допущения'!$B$13)^2</x:f>
        <x:v>129198.4698559322</x:v>
      </x:c>
      <x:c r="G35" s="9" t="n">
        <x:f>'Допущения'!C35*'Допущения'!$B$8*'Допущения'!D35*$B35*(1+'Допущения'!$B$13)^2</x:f>
        <x:v>205629.56465491524</x:v>
      </x:c>
      <x:c r="H35" s="9" t="n">
        <x:f>'Допущения'!C36*'Допущения'!$B$8*'Допущения'!D36*$B35*(1+'Допущения'!$B$13)^2</x:f>
        <x:v>19039.774505084748</x:v>
      </x:c>
      <x:c r="I35" s="9" t="n">
        <x:f>'Допущения'!C37*'Допущения'!$B$8*'Допущения'!D37*$B35*(1+'Допущения'!$B$13)^2</x:f>
        <x:v>0</x:v>
      </x:c>
      <x:c r="J35" s="7" t="n">
        <x:f>SUM(C35:I35)</x:f>
        <x:v>1312248.4585683052</x:v>
      </x:c>
      <x:c r="K35" s="9" t="n">
        <x:f>J35/(1+'Допущения'!$B$9)</x:f>
        <x:v>1249760.4367317192</x:v>
      </x:c>
      <x:c r="L35" s="9" t="n">
        <x:f>C35/(1+'Допущения'!$B$9)*'Допущения'!E31+'Допущения'!C31*'Допущения'!$B$8*$B35*'Допущения'!F31*(1+'Допущения'!$B$14)^2+D35/(1+'Допущения'!$B$9)*'Допущения'!E32+'Допущения'!C32*'Допущения'!$B$8*$B35*'Допущения'!F32*(1+'Допущения'!$B$14)^2+E35/(1+'Допущения'!$B$9)*'Допущения'!E33+'Допущения'!C33*'Допущения'!$B$8*$B35*'Допущения'!F33*(1+'Допущения'!$B$14)^2+F35/(1+'Допущения'!$B$9)*'Допущения'!E34+'Допущения'!C34*'Допущения'!$B$8*$B35*'Допущения'!F34*(1+'Допущения'!$B$14)^2+G35/(1+'Допущения'!$B$9)*'Допущения'!E35+'Допущения'!C35*'Допущения'!$B$8*$B35*'Допущения'!F35*(1+'Допущения'!$B$14)^2+H35/(1+'Допущения'!$B$9)*'Допущения'!E36+'Допущения'!C36*'Допущения'!$B$8*$B35*'Допущения'!F36*(1+'Допущения'!$B$14)^2+I35/(1+'Допущения'!$B$9)*'Допущения'!E37+'Допущения'!C37*'Допущения'!$B$8*$B35*'Допущения'!F37*(1+'Допущения'!$B$14)^2</x:f>
        <x:v>146010.4612216465</x:v>
      </x:c>
      <x:c r="M35" s="9" t="n">
        <x:f>J35*'Допущения'!$B$11</x:f>
        <x:v>26244.969171366105</x:v>
      </x:c>
      <x:c r="N35" s="9" t="n">
        <x:f>'Инвестиции'!$C$35*(1+'Допущения'!$B$14)^2</x:f>
        <x:v>610266.321525</x:v>
      </x:c>
      <x:c r="O35" s="9" t="n">
        <x:f>K35*'Допущения'!$B$10</x:f>
        <x:v>74985.62620390314</x:v>
      </x:c>
      <x:c r="P35" s="9" t="n">
        <x:f>K35*'Допущения'!$B$12</x:f>
        <x:v>24995.208734634383</x:v>
      </x:c>
      <x:c r="Q35" s="7" t="n">
        <x:f>K35-L35-M35-N35</x:f>
        <x:v>467238.68481370644</x:v>
      </x:c>
      <x:c r="R35" s="7" t="n">
        <x:f>Q35-O35-P35</x:f>
        <x:v>367257.84987516893</x:v>
      </x:c>
      <x:c r="S35" s="7" t="n">
        <x:f>S34+R35</x:f>
        <x:v>6021787.263106332</x:v>
      </x:c>
      <x:c r="T35" s="7" t="n">
        <x:f>IF(S35&gt;=0,A35,999)</x:f>
        <x:v>29</x:v>
      </x:c>
      <x:c r="U35" s="22" t="n">
        <x:f>'Допущения'!C31*'Допущения'!$B$8*B35*'Допущения'!$B$17/'Допущения'!$B$18/'Допущения'!$B$16</x:f>
        <x:v>5.24419876733436</x:v>
      </x:c>
      <x:c r="V35" s="7"/>
      <x:c r="W35" s="7"/>
    </x:row>
    <x:row r="36" ht="23" customHeight="1">
      <x:c r="A36" s="1" t="n">
        <x:v>30</x:v>
      </x:c>
      <x:c r="B36" s="17" t="n">
        <x:f>'Допущения'!C47*'Допущения'!D53</x:f>
        <x:v>0.7118644067796609</x:v>
      </x:c>
      <x:c r="C36" s="9" t="n">
        <x:f>'Допущения'!C31*'Допущения'!$B$8*'Допущения'!D31*$B36*(1+'Допущения'!$B$13)^2</x:f>
        <x:v>655192.2403220338</x:v>
      </x:c>
      <x:c r="D36" s="9" t="n">
        <x:f>'Допущения'!C32*'Допущения'!$B$8*'Допущения'!D32*$B36*(1+'Допущения'!$B$13)^2</x:f>
        <x:v>28223.665736949144</x:v>
      </x:c>
      <x:c r="E36" s="9" t="n">
        <x:f>'Допущения'!C33*'Допущения'!$B$8*'Допущения'!D33*$B36*(1+'Допущения'!$B$13)^2</x:f>
        <x:v>105838.74651355928</x:v>
      </x:c>
      <x:c r="F36" s="9" t="n">
        <x:f>'Допущения'!C34*'Допущения'!$B$8*'Допущения'!D34*$B36*(1+'Допущения'!$B$13)^2</x:f>
        <x:v>106398.73988135593</x:v>
      </x:c>
      <x:c r="G36" s="9" t="n">
        <x:f>'Допущения'!C35*'Допущения'!$B$8*'Допущения'!D35*$B36*(1+'Допущения'!$B$13)^2</x:f>
        <x:v>169341.99442169486</x:v>
      </x:c>
      <x:c r="H36" s="9" t="n">
        <x:f>'Допущения'!C36*'Допущения'!$B$8*'Допущения'!D36*$B36*(1+'Допущения'!$B$13)^2</x:f>
        <x:v>15679.814298305084</x:v>
      </x:c>
      <x:c r="I36" s="9" t="n">
        <x:f>'Допущения'!C37*'Допущения'!$B$8*'Допущения'!D37*$B36*(1+'Допущения'!$B$13)^2</x:f>
        <x:v>0</x:v>
      </x:c>
      <x:c r="J36" s="7" t="n">
        <x:f>SUM(C36:I36)</x:f>
        <x:v>1080675.201173898</x:v>
      </x:c>
      <x:c r="K36" s="9" t="n">
        <x:f>J36/(1+'Допущения'!$B$9)</x:f>
        <x:v>1029214.4773084742</x:v>
      </x:c>
      <x:c r="L36" s="9" t="n">
        <x:f>C36/(1+'Допущения'!$B$9)*'Допущения'!E31+'Допущения'!C31*'Допущения'!$B$8*$B36*'Допущения'!F31*(1+'Допущения'!$B$14)^2+D36/(1+'Допущения'!$B$9)*'Допущения'!E32+'Допущения'!C32*'Допущения'!$B$8*$B36*'Допущения'!F32*(1+'Допущения'!$B$14)^2+E36/(1+'Допущения'!$B$9)*'Допущения'!E33+'Допущения'!C33*'Допущения'!$B$8*$B36*'Допущения'!F33*(1+'Допущения'!$B$14)^2+F36/(1+'Допущения'!$B$9)*'Допущения'!E34+'Допущения'!C34*'Допущения'!$B$8*$B36*'Допущения'!F34*(1+'Допущения'!$B$14)^2+G36/(1+'Допущения'!$B$9)*'Допущения'!E35+'Допущения'!C35*'Допущения'!$B$8*$B36*'Допущения'!F35*(1+'Допущения'!$B$14)^2+H36/(1+'Допущения'!$B$9)*'Допущения'!E36+'Допущения'!C36*'Допущения'!$B$8*$B36*'Допущения'!F36*(1+'Допущения'!$B$14)^2+I36/(1+'Допущения'!$B$9)*'Допущения'!E37+'Допущения'!C37*'Допущения'!$B$8*$B36*'Допущения'!F37*(1+'Допущения'!$B$14)^2</x:f>
        <x:v>120243.9092413559</x:v>
      </x:c>
      <x:c r="M36" s="9" t="n">
        <x:f>J36*'Допущения'!$B$11</x:f>
        <x:v>21613.504023477963</x:v>
      </x:c>
      <x:c r="N36" s="9" t="n">
        <x:f>'Инвестиции'!$C$35*(1+'Допущения'!$B$14)^2</x:f>
        <x:v>610266.321525</x:v>
      </x:c>
      <x:c r="O36" s="9" t="n">
        <x:f>K36*'Допущения'!$B$10</x:f>
        <x:v>61752.86863850845</x:v>
      </x:c>
      <x:c r="P36" s="9" t="n">
        <x:f>K36*'Допущения'!$B$12</x:f>
        <x:v>20584.289546169486</x:v>
      </x:c>
      <x:c r="Q36" s="7" t="n">
        <x:f>K36-L36-M36-N36</x:f>
        <x:v>277090.74251864024</x:v>
      </x:c>
      <x:c r="R36" s="7" t="n">
        <x:f>Q36-O36-P36</x:f>
        <x:v>194753.5843339623</x:v>
      </x:c>
      <x:c r="S36" s="7" t="n">
        <x:f>S35+R36</x:f>
        <x:v>6216540.847440295</x:v>
      </x:c>
      <x:c r="T36" s="7" t="n">
        <x:f>IF(S36&gt;=0,A36,999)</x:f>
        <x:v>30</x:v>
      </x:c>
      <x:c r="U36" s="22" t="n">
        <x:f>'Допущения'!C31*'Допущения'!$B$8*B36*'Допущения'!$B$17/'Допущения'!$B$18/'Допущения'!$B$16</x:f>
        <x:v>4.318751926040061</x:v>
      </x:c>
      <x:c r="V36" s="7"/>
      <x:c r="W36" s="7"/>
    </x:row>
    <x:row r="37" ht="23" customHeight="1">
      <x:c r="A37" s="1" t="n">
        <x:v>31</x:v>
      </x:c>
      <x:c r="B37" s="17" t="n">
        <x:f>'Допущения'!C48*'Допущения'!D53</x:f>
        <x:v>0.7627118644067796</x:v>
      </x:c>
      <x:c r="C37" s="9" t="n">
        <x:f>'Допущения'!C31*'Допущения'!$B$8*'Допущения'!D31*$B37*(1+'Допущения'!$B$13)^2</x:f>
        <x:v>701991.686059322</x:v>
      </x:c>
      <x:c r="D37" s="9" t="n">
        <x:f>'Допущения'!C32*'Допущения'!$B$8*'Допущения'!D32*$B37*(1+'Допущения'!$B$13)^2</x:f>
        <x:v>30239.641861016946</x:v>
      </x:c>
      <x:c r="E37" s="9" t="n">
        <x:f>'Допущения'!C33*'Допущения'!$B$8*'Допущения'!D33*$B37*(1+'Допущения'!$B$13)^2</x:f>
        <x:v>113398.65697881352</x:v>
      </x:c>
      <x:c r="F37" s="9" t="n">
        <x:f>'Допущения'!C34*'Допущения'!$B$8*'Допущения'!D34*$B37*(1+'Допущения'!$B$13)^2</x:f>
        <x:v>113998.64987288137</x:v>
      </x:c>
      <x:c r="G37" s="9" t="n">
        <x:f>'Допущения'!C35*'Допущения'!$B$8*'Допущения'!D35*$B37*(1+'Допущения'!$B$13)^2</x:f>
        <x:v>181437.8511661017</x:v>
      </x:c>
      <x:c r="H37" s="9" t="n">
        <x:f>'Допущения'!C36*'Допущения'!$B$8*'Допущения'!D36*$B37*(1+'Допущения'!$B$13)^2</x:f>
        <x:v>16799.801033898308</x:v>
      </x:c>
      <x:c r="I37" s="9" t="n">
        <x:f>'Допущения'!C37*'Допущения'!$B$8*'Допущения'!D37*$B37*(1+'Допущения'!$B$13)^2</x:f>
        <x:v>0</x:v>
      </x:c>
      <x:c r="J37" s="7" t="n">
        <x:f>SUM(C37:I37)</x:f>
        <x:v>1157866.2869720338</x:v>
      </x:c>
      <x:c r="K37" s="9" t="n">
        <x:f>J37/(1+'Допущения'!$B$9)</x:f>
        <x:v>1102729.7971162226</x:v>
      </x:c>
      <x:c r="L37" s="9" t="n">
        <x:f>C37/(1+'Допущения'!$B$9)*'Допущения'!E31+'Допущения'!C31*'Допущения'!$B$8*$B37*'Допущения'!F31*(1+'Допущения'!$B$14)^2+D37/(1+'Допущения'!$B$9)*'Допущения'!E32+'Допущения'!C32*'Допущения'!$B$8*$B37*'Допущения'!F32*(1+'Допущения'!$B$14)^2+E37/(1+'Допущения'!$B$9)*'Допущения'!E33+'Допущения'!C33*'Допущения'!$B$8*$B37*'Допущения'!F33*(1+'Допущения'!$B$14)^2+F37/(1+'Допущения'!$B$9)*'Допущения'!E34+'Допущения'!C34*'Допущения'!$B$8*$B37*'Допущения'!F34*(1+'Допущения'!$B$14)^2+G37/(1+'Допущения'!$B$9)*'Допущения'!E35+'Допущения'!C35*'Допущения'!$B$8*$B37*'Допущения'!F35*(1+'Допущения'!$B$14)^2+H37/(1+'Допущения'!$B$9)*'Допущения'!E36+'Допущения'!C36*'Допущения'!$B$8*$B37*'Допущения'!F36*(1+'Допущения'!$B$14)^2+I37/(1+'Допущения'!$B$9)*'Допущения'!E37+'Допущения'!C37*'Допущения'!$B$8*$B37*'Допущения'!F37*(1+'Допущения'!$B$14)^2</x:f>
        <x:v>128832.75990145277</x:v>
      </x:c>
      <x:c r="M37" s="9" t="n">
        <x:f>J37*'Допущения'!$B$11</x:f>
        <x:v>23157.325739440676</x:v>
      </x:c>
      <x:c r="N37" s="9" t="n">
        <x:f>'Инвестиции'!$C$35*(1+'Допущения'!$B$14)^2</x:f>
        <x:v>610266.321525</x:v>
      </x:c>
      <x:c r="O37" s="9" t="n">
        <x:f>K37*'Допущения'!$B$10</x:f>
        <x:v>66163.78782697335</x:v>
      </x:c>
      <x:c r="P37" s="9" t="n">
        <x:f>K37*'Допущения'!$B$12</x:f>
        <x:v>22054.595942324453</x:v>
      </x:c>
      <x:c r="Q37" s="7" t="n">
        <x:f>K37-L37-M37-N37</x:f>
        <x:v>340473.3899503291</x:v>
      </x:c>
      <x:c r="R37" s="7" t="n">
        <x:f>Q37-O37-P37</x:f>
        <x:v>252255.00618103126</x:v>
      </x:c>
      <x:c r="S37" s="7" t="n">
        <x:f>S36+R37</x:f>
        <x:v>6468795.853621326</x:v>
      </x:c>
      <x:c r="T37" s="7" t="n">
        <x:f>IF(S37&gt;=0,A37,999)</x:f>
        <x:v>31</x:v>
      </x:c>
      <x:c r="U37" s="22" t="n">
        <x:f>'Допущения'!C31*'Допущения'!$B$8*B37*'Допущения'!$B$17/'Допущения'!$B$18/'Допущения'!$B$16</x:f>
        <x:v>4.627234206471495</x:v>
      </x:c>
      <x:c r="V37" s="7"/>
      <x:c r="W37" s="7"/>
    </x:row>
    <x:row r="38" ht="23" customHeight="1">
      <x:c r="A38" s="1" t="n">
        <x:v>32</x:v>
      </x:c>
      <x:c r="B38" s="17" t="n">
        <x:f>'Допущения'!C49*'Допущения'!D53</x:f>
        <x:v>0.8135593220338982</x:v>
      </x:c>
      <x:c r="C38" s="9" t="n">
        <x:f>'Допущения'!C31*'Допущения'!$B$8*'Допущения'!D31*$B38*(1+'Допущения'!$B$13)^2</x:f>
        <x:v>748791.1317966101</x:v>
      </x:c>
      <x:c r="D38" s="9" t="n">
        <x:f>'Допущения'!C32*'Допущения'!$B$8*'Допущения'!D32*$B38*(1+'Допущения'!$B$13)^2</x:f>
        <x:v>32255.61798508474</x:v>
      </x:c>
      <x:c r="E38" s="9" t="n">
        <x:f>'Допущения'!C33*'Допущения'!$B$8*'Допущения'!D33*$B38*(1+'Допущения'!$B$13)^2</x:f>
        <x:v>120958.56744406775</x:v>
      </x:c>
      <x:c r="F38" s="9" t="n">
        <x:f>'Допущения'!C34*'Допущения'!$B$8*'Допущения'!D34*$B38*(1+'Допущения'!$B$13)^2</x:f>
        <x:v>121598.5598644068</x:v>
      </x:c>
      <x:c r="G38" s="9" t="n">
        <x:f>'Допущения'!C35*'Допущения'!$B$8*'Допущения'!D35*$B38*(1+'Допущения'!$B$13)^2</x:f>
        <x:v>193533.70791050847</x:v>
      </x:c>
      <x:c r="H38" s="9" t="n">
        <x:f>'Допущения'!C36*'Допущения'!$B$8*'Допущения'!D36*$B38*(1+'Допущения'!$B$13)^2</x:f>
        <x:v>17919.787769491526</x:v>
      </x:c>
      <x:c r="I38" s="9" t="n">
        <x:f>'Допущения'!C37*'Допущения'!$B$8*'Допущения'!D37*$B38*(1+'Допущения'!$B$13)^2</x:f>
        <x:v>0</x:v>
      </x:c>
      <x:c r="J38" s="7" t="n">
        <x:f>SUM(C38:I38)</x:f>
        <x:v>1235057.3727701695</x:v>
      </x:c>
      <x:c r="K38" s="9" t="n">
        <x:f>J38/(1+'Допущения'!$B$9)</x:f>
        <x:v>1176245.1169239709</x:v>
      </x:c>
      <x:c r="L38" s="9" t="n">
        <x:f>C38/(1+'Допущения'!$B$9)*'Допущения'!E31+'Допущения'!C31*'Допущения'!$B$8*$B38*'Допущения'!F31*(1+'Допущения'!$B$14)^2+D38/(1+'Допущения'!$B$9)*'Допущения'!E32+'Допущения'!C32*'Допущения'!$B$8*$B38*'Допущения'!F32*(1+'Допущения'!$B$14)^2+E38/(1+'Допущения'!$B$9)*'Допущения'!E33+'Допущения'!C33*'Допущения'!$B$8*$B38*'Допущения'!F33*(1+'Допущения'!$B$14)^2+F38/(1+'Допущения'!$B$9)*'Допущения'!E34+'Допущения'!C34*'Допущения'!$B$8*$B38*'Допущения'!F34*(1+'Допущения'!$B$14)^2+G38/(1+'Допущения'!$B$9)*'Допущения'!E35+'Допущения'!C35*'Допущения'!$B$8*$B38*'Допущения'!F35*(1+'Допущения'!$B$14)^2+H38/(1+'Допущения'!$B$9)*'Допущения'!E36+'Допущения'!C36*'Допущения'!$B$8*$B38*'Допущения'!F36*(1+'Допущения'!$B$14)^2+I38/(1+'Допущения'!$B$9)*'Допущения'!E37+'Допущения'!C37*'Допущения'!$B$8*$B38*'Допущения'!F37*(1+'Допущения'!$B$14)^2</x:f>
        <x:v>137421.6105615496</x:v>
      </x:c>
      <x:c r="M38" s="9" t="n">
        <x:f>J38*'Допущения'!$B$11</x:f>
        <x:v>24701.147455403392</x:v>
      </x:c>
      <x:c r="N38" s="9" t="n">
        <x:f>'Инвестиции'!$C$35*(1+'Допущения'!$B$14)^2</x:f>
        <x:v>610266.321525</x:v>
      </x:c>
      <x:c r="O38" s="9" t="n">
        <x:f>K38*'Допущения'!$B$10</x:f>
        <x:v>70574.70701543825</x:v>
      </x:c>
      <x:c r="P38" s="9" t="n">
        <x:f>K38*'Допущения'!$B$12</x:f>
        <x:v>23524.902338479416</x:v>
      </x:c>
      <x:c r="Q38" s="7" t="n">
        <x:f>K38-L38-M38-N38</x:f>
        <x:v>403856.0373820178</x:v>
      </x:c>
      <x:c r="R38" s="7" t="n">
        <x:f>Q38-O38-P38</x:f>
        <x:v>309756.42802810017</x:v>
      </x:c>
      <x:c r="S38" s="7" t="n">
        <x:f>S37+R38</x:f>
        <x:v>6778552.281649427</x:v>
      </x:c>
      <x:c r="T38" s="7" t="n">
        <x:f>IF(S38&gt;=0,A38,999)</x:f>
        <x:v>32</x:v>
      </x:c>
      <x:c r="U38" s="22" t="n">
        <x:f>'Допущения'!C31*'Допущения'!$B$8*B38*'Допущения'!$B$17/'Допущения'!$B$18/'Допущения'!$B$16</x:f>
        <x:v>4.935716486902928</x:v>
      </x:c>
      <x:c r="V38" s="7"/>
      <x:c r="W38" s="7"/>
    </x:row>
    <x:row r="39" ht="23" customHeight="1">
      <x:c r="A39" s="1" t="n">
        <x:v>33</x:v>
      </x:c>
      <x:c r="B39" s="17" t="n">
        <x:f>'Допущения'!C50*'Допущения'!D53</x:f>
        <x:v>1.0677966101694916</x:v>
      </x:c>
      <x:c r="C39" s="9" t="n">
        <x:f>'Допущения'!C31*'Допущения'!$B$8*'Допущения'!D31*$B39*(1+'Допущения'!$B$13)^2</x:f>
        <x:v>982788.3604830509</x:v>
      </x:c>
      <x:c r="D39" s="9" t="n">
        <x:f>'Допущения'!C32*'Допущения'!$B$8*'Допущения'!D32*$B39*(1+'Допущения'!$B$13)^2</x:f>
        <x:v>42335.49860542372</x:v>
      </x:c>
      <x:c r="E39" s="9" t="n">
        <x:f>'Допущения'!C33*'Допущения'!$B$8*'Допущения'!D33*$B39*(1+'Допущения'!$B$13)^2</x:f>
        <x:v>158758.11977033896</x:v>
      </x:c>
      <x:c r="F39" s="9" t="n">
        <x:f>'Допущения'!C34*'Допущения'!$B$8*'Допущения'!D34*$B39*(1+'Допущения'!$B$13)^2</x:f>
        <x:v>159598.10982203393</x:v>
      </x:c>
      <x:c r="G39" s="9" t="n">
        <x:f>'Допущения'!C35*'Допущения'!$B$8*'Допущения'!D35*$B39*(1+'Допущения'!$B$13)^2</x:f>
        <x:v>254012.99163254237</x:v>
      </x:c>
      <x:c r="H39" s="9" t="n">
        <x:f>'Допущения'!C36*'Допущения'!$B$8*'Допущения'!D36*$B39*(1+'Допущения'!$B$13)^2</x:f>
        <x:v>23519.721447457632</x:v>
      </x:c>
      <x:c r="I39" s="9" t="n">
        <x:f>'Допущения'!C37*'Допущения'!$B$8*'Допущения'!D37*$B39*(1+'Допущения'!$B$13)^2</x:f>
        <x:v>0</x:v>
      </x:c>
      <x:c r="J39" s="7" t="n">
        <x:f>SUM(C39:I39)</x:f>
        <x:v>1621012.8017608474</x:v>
      </x:c>
      <x:c r="K39" s="9" t="n">
        <x:f>J39/(1+'Допущения'!$B$9)</x:f>
        <x:v>1543821.7159627117</x:v>
      </x:c>
      <x:c r="L39" s="9" t="n">
        <x:f>C39/(1+'Допущения'!$B$9)*'Допущения'!E31+'Допущения'!C31*'Допущения'!$B$8*$B39*'Допущения'!F31*(1+'Допущения'!$B$14)^2+D39/(1+'Допущения'!$B$9)*'Допущения'!E32+'Допущения'!C32*'Допущения'!$B$8*$B39*'Допущения'!F32*(1+'Допущения'!$B$14)^2+E39/(1+'Допущения'!$B$9)*'Допущения'!E33+'Допущения'!C33*'Допущения'!$B$8*$B39*'Допущения'!F33*(1+'Допущения'!$B$14)^2+F39/(1+'Допущения'!$B$9)*'Допущения'!E34+'Допущения'!C34*'Допущения'!$B$8*$B39*'Допущения'!F34*(1+'Допущения'!$B$14)^2+G39/(1+'Допущения'!$B$9)*'Допущения'!E35+'Допущения'!C35*'Допущения'!$B$8*$B39*'Допущения'!F35*(1+'Допущения'!$B$14)^2+H39/(1+'Допущения'!$B$9)*'Допущения'!E36+'Допущения'!C36*'Допущения'!$B$8*$B39*'Допущения'!F36*(1+'Допущения'!$B$14)^2+I39/(1+'Допущения'!$B$9)*'Допущения'!E37+'Допущения'!C37*'Допущения'!$B$8*$B39*'Допущения'!F37*(1+'Допущения'!$B$14)^2</x:f>
        <x:v>180365.8638620339</x:v>
      </x:c>
      <x:c r="M39" s="9" t="n">
        <x:f>J39*'Допущения'!$B$11</x:f>
        <x:v>32420.25603521695</x:v>
      </x:c>
      <x:c r="N39" s="9" t="n">
        <x:f>'Инвестиции'!$C$35*(1+'Допущения'!$B$14)^2</x:f>
        <x:v>610266.321525</x:v>
      </x:c>
      <x:c r="O39" s="9" t="n">
        <x:f>K39*'Допущения'!$B$10</x:f>
        <x:v>92629.3029577627</x:v>
      </x:c>
      <x:c r="P39" s="9" t="n">
        <x:f>K39*'Допущения'!$B$12</x:f>
        <x:v>30876.434319254236</x:v>
      </x:c>
      <x:c r="Q39" s="7" t="n">
        <x:f>K39-L39-M39-N39</x:f>
        <x:v>720769.2745404609</x:v>
      </x:c>
      <x:c r="R39" s="7" t="n">
        <x:f>Q39-O39-P39</x:f>
        <x:v>597263.5372634439</x:v>
      </x:c>
      <x:c r="S39" s="7" t="n">
        <x:f>S38+R39</x:f>
        <x:v>7375815.81891287</x:v>
      </x:c>
      <x:c r="T39" s="7" t="n">
        <x:f>IF(S39&gt;=0,A39,999)</x:f>
        <x:v>33</x:v>
      </x:c>
      <x:c r="U39" s="22" t="n">
        <x:f>'Допущения'!C31*'Допущения'!$B$8*B39*'Допущения'!$B$17/'Допущения'!$B$18/'Допущения'!$B$16</x:f>
        <x:v>6.478127889060094</x:v>
      </x:c>
      <x:c r="V39" s="7"/>
      <x:c r="W39" s="7"/>
    </x:row>
    <x:row r="40" ht="23" customHeight="1">
      <x:c r="A40" s="1" t="n">
        <x:v>34</x:v>
      </x:c>
      <x:c r="B40" s="17" t="n">
        <x:f>'Допущения'!C51*'Допущения'!D53</x:f>
        <x:v>1.1694915254237286</x:v>
      </x:c>
      <x:c r="C40" s="9" t="n">
        <x:f>'Допущения'!C31*'Допущения'!$B$8*'Допущения'!D31*$B40*(1+'Допущения'!$B$13)^2</x:f>
        <x:v>1076387.2519576268</x:v>
      </x:c>
      <x:c r="D40" s="9" t="n">
        <x:f>'Допущения'!C32*'Допущения'!$B$8*'Допущения'!D32*$B40*(1+'Допущения'!$B$13)^2</x:f>
        <x:v>46367.450853559305</x:v>
      </x:c>
      <x:c r="E40" s="9" t="n">
        <x:f>'Допущения'!C33*'Допущения'!$B$8*'Допущения'!D33*$B40*(1+'Допущения'!$B$13)^2</x:f>
        <x:v>173877.94070084736</x:v>
      </x:c>
      <x:c r="F40" s="9" t="n">
        <x:f>'Допущения'!C34*'Допущения'!$B$8*'Допущения'!D34*$B40*(1+'Допущения'!$B$13)^2</x:f>
        <x:v>174797.92980508474</x:v>
      </x:c>
      <x:c r="G40" s="9" t="n">
        <x:f>'Допущения'!C35*'Допущения'!$B$8*'Допущения'!D35*$B40*(1+'Допущения'!$B$13)^2</x:f>
        <x:v>278204.7051213559</x:v>
      </x:c>
      <x:c r="H40" s="9" t="n">
        <x:f>'Допущения'!C36*'Допущения'!$B$8*'Допущения'!D36*$B40*(1+'Допущения'!$B$13)^2</x:f>
        <x:v>25759.69491864407</x:v>
      </x:c>
      <x:c r="I40" s="9" t="n">
        <x:f>'Допущения'!C37*'Допущения'!$B$8*'Допущения'!D37*$B40*(1+'Допущения'!$B$13)^2</x:f>
        <x:v>0</x:v>
      </x:c>
      <x:c r="J40" s="7" t="n">
        <x:f>SUM(C40:I40)</x:f>
        <x:v>1775394.9733571184</x:v>
      </x:c>
      <x:c r="K40" s="9" t="n">
        <x:f>J40/(1+'Допущения'!$B$9)</x:f>
        <x:v>1690852.3555782079</x:v>
      </x:c>
      <x:c r="L40" s="9" t="n">
        <x:f>C40/(1+'Допущения'!$B$9)*'Допущения'!E31+'Допущения'!C31*'Допущения'!$B$8*$B40*'Допущения'!F31*(1+'Допущения'!$B$14)^2+D40/(1+'Допущения'!$B$9)*'Допущения'!E32+'Допущения'!C32*'Допущения'!$B$8*$B40*'Допущения'!F32*(1+'Допущения'!$B$14)^2+E40/(1+'Допущения'!$B$9)*'Допущения'!E33+'Допущения'!C33*'Допущения'!$B$8*$B40*'Допущения'!F33*(1+'Допущения'!$B$14)^2+F40/(1+'Допущения'!$B$9)*'Допущения'!E34+'Допущения'!C34*'Допущения'!$B$8*$B40*'Допущения'!F34*(1+'Допущения'!$B$14)^2+G40/(1+'Допущения'!$B$9)*'Допущения'!E35+'Допущения'!C35*'Допущения'!$B$8*$B40*'Допущения'!F35*(1+'Допущения'!$B$14)^2+H40/(1+'Допущения'!$B$9)*'Допущения'!E36+'Допущения'!C36*'Допущения'!$B$8*$B40*'Допущения'!F36*(1+'Допущения'!$B$14)^2+I40/(1+'Допущения'!$B$9)*'Допущения'!E37+'Допущения'!C37*'Допущения'!$B$8*$B40*'Допущения'!F37*(1+'Допущения'!$B$14)^2</x:f>
        <x:v>197543.56518222755</x:v>
      </x:c>
      <x:c r="M40" s="9" t="n">
        <x:f>J40*'Допущения'!$B$11</x:f>
        <x:v>35507.89946714237</x:v>
      </x:c>
      <x:c r="N40" s="9" t="n">
        <x:f>'Инвестиции'!$C$35*(1+'Допущения'!$B$14)^2</x:f>
        <x:v>610266.321525</x:v>
      </x:c>
      <x:c r="O40" s="9" t="n">
        <x:f>K40*'Допущения'!$B$10</x:f>
        <x:v>101451.14133469247</x:v>
      </x:c>
      <x:c r="P40" s="9" t="n">
        <x:f>K40*'Допущения'!$B$12</x:f>
        <x:v>33817.047111564156</x:v>
      </x:c>
      <x:c r="Q40" s="7" t="n">
        <x:f>K40-L40-M40-N40</x:f>
        <x:v>847534.5694038379</x:v>
      </x:c>
      <x:c r="R40" s="7" t="n">
        <x:f>Q40-O40-P40</x:f>
        <x:v>712266.3809575812</x:v>
      </x:c>
      <x:c r="S40" s="7" t="n">
        <x:f>S39+R40</x:f>
        <x:v>8088082.199870451</x:v>
      </x:c>
      <x:c r="T40" s="7" t="n">
        <x:f>IF(S40&gt;=0,A40,999)</x:f>
        <x:v>34</x:v>
      </x:c>
      <x:c r="U40" s="22" t="n">
        <x:f>'Допущения'!C31*'Допущения'!$B$8*B40*'Допущения'!$B$17/'Допущения'!$B$18/'Допущения'!$B$16</x:f>
        <x:v>7.095092449922958</x:v>
      </x:c>
      <x:c r="V40" s="7"/>
      <x:c r="W40" s="7"/>
    </x:row>
    <x:row r="41" ht="23" customHeight="1">
      <x:c r="A41" s="1" t="n">
        <x:v>35</x:v>
      </x:c>
      <x:c r="B41" s="17" t="n">
        <x:f>'Допущения'!C52*'Допущения'!D53</x:f>
        <x:v>1.2203389830508473</x:v>
      </x:c>
      <x:c r="C41" s="9" t="n">
        <x:f>'Допущения'!C31*'Допущения'!$B$8*'Допущения'!D31*$B41*(1+'Допущения'!$B$13)^2</x:f>
        <x:v>1123186.697694915</x:v>
      </x:c>
      <x:c r="D41" s="9" t="n">
        <x:f>'Допущения'!C32*'Допущения'!$B$8*'Допущения'!D32*$B41*(1+'Допущения'!$B$13)^2</x:f>
        <x:v>48383.42697762711</x:v>
      </x:c>
      <x:c r="E41" s="9" t="n">
        <x:f>'Допущения'!C33*'Допущения'!$B$8*'Допущения'!D33*$B41*(1+'Допущения'!$B$13)^2</x:f>
        <x:v>181437.8511661016</x:v>
      </x:c>
      <x:c r="F41" s="9" t="n">
        <x:f>'Допущения'!C34*'Допущения'!$B$8*'Допущения'!D34*$B41*(1+'Допущения'!$B$13)^2</x:f>
        <x:v>182397.83979661018</x:v>
      </x:c>
      <x:c r="G41" s="9" t="n">
        <x:f>'Допущения'!C35*'Допущения'!$B$8*'Допущения'!D35*$B41*(1+'Допущения'!$B$13)^2</x:f>
        <x:v>290300.56186576263</x:v>
      </x:c>
      <x:c r="H41" s="9" t="n">
        <x:f>'Допущения'!C36*'Допущения'!$B$8*'Допущения'!D36*$B41*(1+'Допущения'!$B$13)^2</x:f>
        <x:v>26879.681654237287</x:v>
      </x:c>
      <x:c r="I41" s="9" t="n">
        <x:f>'Допущения'!C37*'Допущения'!$B$8*'Допущения'!D37*$B41*(1+'Допущения'!$B$13)^2</x:f>
        <x:v>0</x:v>
      </x:c>
      <x:c r="J41" s="7" t="n">
        <x:f>SUM(C41:I41)</x:f>
        <x:v>1852586.059155254</x:v>
      </x:c>
      <x:c r="K41" s="9" t="n">
        <x:f>J41/(1+'Допущения'!$B$9)</x:f>
        <x:v>1764367.675385956</x:v>
      </x:c>
      <x:c r="L41" s="9" t="n">
        <x:f>C41/(1+'Допущения'!$B$9)*'Допущения'!E31+'Допущения'!C31*'Допущения'!$B$8*$B41*'Допущения'!F31*(1+'Допущения'!$B$14)^2+D41/(1+'Допущения'!$B$9)*'Допущения'!E32+'Допущения'!C32*'Допущения'!$B$8*$B41*'Допущения'!F32*(1+'Допущения'!$B$14)^2+E41/(1+'Допущения'!$B$9)*'Допущения'!E33+'Допущения'!C33*'Допущения'!$B$8*$B41*'Допущения'!F33*(1+'Допущения'!$B$14)^2+F41/(1+'Допущения'!$B$9)*'Допущения'!E34+'Допущения'!C34*'Допущения'!$B$8*$B41*'Допущения'!F34*(1+'Допущения'!$B$14)^2+G41/(1+'Допущения'!$B$9)*'Допущения'!E35+'Допущения'!C35*'Допущения'!$B$8*$B41*'Допущения'!F35*(1+'Допущения'!$B$14)^2+H41/(1+'Допущения'!$B$9)*'Допущения'!E36+'Допущения'!C36*'Допущения'!$B$8*$B41*'Допущения'!F36*(1+'Допущения'!$B$14)^2+I41/(1+'Допущения'!$B$9)*'Допущения'!E37+'Допущения'!C37*'Допущения'!$B$8*$B41*'Допущения'!F37*(1+'Допущения'!$B$14)^2</x:f>
        <x:v>206132.41584232438</x:v>
      </x:c>
      <x:c r="M41" s="9" t="n">
        <x:f>J41*'Допущения'!$B$11</x:f>
        <x:v>37051.72118310508</x:v>
      </x:c>
      <x:c r="N41" s="9" t="n">
        <x:f>'Инвестиции'!$C$35*(1+'Допущения'!$B$14)^2</x:f>
        <x:v>610266.321525</x:v>
      </x:c>
      <x:c r="O41" s="9" t="n">
        <x:f>K41*'Допущения'!$B$10</x:f>
        <x:v>105862.06052315736</x:v>
      </x:c>
      <x:c r="P41" s="9" t="n">
        <x:f>K41*'Допущения'!$B$12</x:f>
        <x:v>35287.35350771912</x:v>
      </x:c>
      <x:c r="Q41" s="7" t="n">
        <x:f>K41-L41-M41-N41</x:f>
        <x:v>910917.2168355265</x:v>
      </x:c>
      <x:c r="R41" s="7" t="n">
        <x:f>Q41-O41-P41</x:f>
        <x:v>769767.80280465</x:v>
      </x:c>
      <x:c r="S41" s="7" t="n">
        <x:f>S40+R41</x:f>
        <x:v>8857850.002675101</x:v>
      </x:c>
      <x:c r="T41" s="7" t="n">
        <x:f>IF(S41&gt;=0,A41,999)</x:f>
        <x:v>35</x:v>
      </x:c>
      <x:c r="U41" s="22" t="n">
        <x:f>'Допущения'!C31*'Допущения'!$B$8*B41*'Допущения'!$B$17/'Допущения'!$B$18/'Допущения'!$B$16</x:f>
        <x:v>7.403574730354389</x:v>
      </x:c>
      <x:c r="V41" s="7"/>
      <x:c r="W41" s="7"/>
    </x:row>
    <x:row r="42" ht="23" customHeight="1">
      <x:c r="A42" s="1" t="n">
        <x:v>36</x:v>
      </x:c>
      <x:c r="B42" s="17" t="n">
        <x:f>'Допущения'!C53*'Допущения'!D53</x:f>
        <x:v>1.271186440677966</x:v>
      </x:c>
      <x:c r="C42" s="9" t="n">
        <x:f>'Допущения'!C31*'Допущения'!$B$8*'Допущения'!D31*$B42*(1+'Допущения'!$B$13)^2</x:f>
        <x:v>1169986.1434322034</x:v>
      </x:c>
      <x:c r="D42" s="9" t="n">
        <x:f>'Допущения'!C32*'Допущения'!$B$8*'Допущения'!D32*$B42*(1+'Допущения'!$B$13)^2</x:f>
        <x:v>50399.40310169491</x:v>
      </x:c>
      <x:c r="E42" s="9" t="n">
        <x:f>'Допущения'!C33*'Допущения'!$B$8*'Допущения'!D33*$B42*(1+'Допущения'!$B$13)^2</x:f>
        <x:v>188997.76163135585</x:v>
      </x:c>
      <x:c r="F42" s="9" t="n">
        <x:f>'Допущения'!C34*'Допущения'!$B$8*'Допущения'!D34*$B42*(1+'Допущения'!$B$13)^2</x:f>
        <x:v>189997.7497881356</x:v>
      </x:c>
      <x:c r="G42" s="9" t="n">
        <x:f>'Допущения'!C35*'Допущения'!$B$8*'Допущения'!D35*$B42*(1+'Допущения'!$B$13)^2</x:f>
        <x:v>302396.4186101695</x:v>
      </x:c>
      <x:c r="H42" s="9" t="n">
        <x:f>'Допущения'!C36*'Допущения'!$B$8*'Допущения'!D36*$B42*(1+'Допущения'!$B$13)^2</x:f>
        <x:v>27999.66838983051</x:v>
      </x:c>
      <x:c r="I42" s="9" t="n">
        <x:f>'Допущения'!C37*'Допущения'!$B$8*'Допущения'!D37*$B42*(1+'Допущения'!$B$13)^2</x:f>
        <x:v>0</x:v>
      </x:c>
      <x:c r="J42" s="7" t="n">
        <x:f>SUM(C42:I42)</x:f>
        <x:v>1929777.14495339</x:v>
      </x:c>
      <x:c r="K42" s="9" t="n">
        <x:f>J42/(1+'Допущения'!$B$9)</x:f>
        <x:v>1837882.9951937045</x:v>
      </x:c>
      <x:c r="L42" s="9" t="n">
        <x:f>C42/(1+'Допущения'!$B$9)*'Допущения'!E31+'Допущения'!C31*'Допущения'!$B$8*$B42*'Допущения'!F31*(1+'Допущения'!$B$14)^2+D42/(1+'Допущения'!$B$9)*'Допущения'!E32+'Допущения'!C32*'Допущения'!$B$8*$B42*'Допущения'!F32*(1+'Допущения'!$B$14)^2+E42/(1+'Допущения'!$B$9)*'Допущения'!E33+'Допущения'!C33*'Допущения'!$B$8*$B42*'Допущения'!F33*(1+'Допущения'!$B$14)^2+F42/(1+'Допущения'!$B$9)*'Допущения'!E34+'Допущения'!C34*'Допущения'!$B$8*$B42*'Допущения'!F34*(1+'Допущения'!$B$14)^2+G42/(1+'Допущения'!$B$9)*'Допущения'!E35+'Допущения'!C35*'Допущения'!$B$8*$B42*'Допущения'!F35*(1+'Допущения'!$B$14)^2+H42/(1+'Допущения'!$B$9)*'Допущения'!E36+'Допущения'!C36*'Допущения'!$B$8*$B42*'Допущения'!F36*(1+'Допущения'!$B$14)^2+I42/(1+'Допущения'!$B$9)*'Допущения'!E37+'Допущения'!C37*'Допущения'!$B$8*$B42*'Допущения'!F37*(1+'Допущения'!$B$14)^2</x:f>
        <x:v>214721.2665024213</x:v>
      </x:c>
      <x:c r="M42" s="9" t="n">
        <x:f>J42*'Допущения'!$B$11</x:f>
        <x:v>38595.5428990678</x:v>
      </x:c>
      <x:c r="N42" s="9" t="n">
        <x:f>'Инвестиции'!$C$35*(1+'Допущения'!$B$14)^2</x:f>
        <x:v>610266.321525</x:v>
      </x:c>
      <x:c r="O42" s="9" t="n">
        <x:f>K42*'Допущения'!$B$10</x:f>
        <x:v>110272.97971162226</x:v>
      </x:c>
      <x:c r="P42" s="9" t="n">
        <x:f>K42*'Допущения'!$B$12</x:f>
        <x:v>36757.65990387409</x:v>
      </x:c>
      <x:c r="Q42" s="7" t="n">
        <x:f>K42-L42-M42-N42</x:f>
        <x:v>974299.8642672154</x:v>
      </x:c>
      <x:c r="R42" s="7" t="n">
        <x:f>Q42-O42-P42</x:f>
        <x:v>827269.2246517191</x:v>
      </x:c>
      <x:c r="S42" s="7" t="n">
        <x:f>S41+R42</x:f>
        <x:v>9685119.22732682</x:v>
      </x:c>
      <x:c r="T42" s="7" t="n">
        <x:f>IF(S42&gt;=0,A42,999)</x:f>
        <x:v>36</x:v>
      </x:c>
      <x:c r="U42" s="22" t="n">
        <x:f>'Допущения'!C31*'Допущения'!$B$8*B42*'Допущения'!$B$17/'Допущения'!$B$18/'Допущения'!$B$16</x:f>
        <x:v>7.7120570107858235</x:v>
      </x:c>
      <x:c r="V42" s="7"/>
      <x:c r="W42" s="7"/>
    </x:row>
    <x:row r="43" ht="23" customHeight="1">
      <x:c r="A43" s="1" t="n">
        <x:v>37</x:v>
      </x:c>
      <x:c r="B43" s="17" t="n">
        <x:f>'Допущения'!C42*'Допущения'!D53</x:f>
        <x:v>1.1186440677966103</x:v>
      </x:c>
      <x:c r="C43" s="9" t="n">
        <x:f>'Допущения'!C31*'Допущения'!$B$8*'Допущения'!D31*$B43*(1+'Допущения'!$B$13)^3</x:f>
        <x:v>1060475.4404069493</x:v>
      </x:c>
      <x:c r="D43" s="9" t="n">
        <x:f>'Допущения'!C32*'Допущения'!$B$8*'Допущения'!D32*$B43*(1+'Допущения'!$B$13)^3</x:f>
        <x:v>45682.018971376274</x:v>
      </x:c>
      <x:c r="E43" s="9" t="n">
        <x:f>'Допущения'!C33*'Допущения'!$B$8*'Допущения'!D33*$B43*(1+'Допущения'!$B$13)^3</x:f>
        <x:v>171307.571142661</x:v>
      </x:c>
      <x:c r="F43" s="9" t="n">
        <x:f>'Допущения'!C34*'Допущения'!$B$8*'Допущения'!D34*$B43*(1+'Допущения'!$B$13)^3</x:f>
        <x:v>172213.96040796617</x:v>
      </x:c>
      <x:c r="G43" s="9" t="n">
        <x:f>'Допущения'!C35*'Допущения'!$B$8*'Допущения'!D35*$B43*(1+'Допущения'!$B$13)^3</x:f>
        <x:v>274092.11382825766</x:v>
      </x:c>
      <x:c r="H43" s="9" t="n">
        <x:f>'Допущения'!C36*'Допущения'!$B$8*'Допущения'!D36*$B43*(1+'Допущения'!$B$13)^3</x:f>
        <x:v>25378.89942854238</x:v>
      </x:c>
      <x:c r="I43" s="9" t="n">
        <x:f>'Допущения'!C37*'Допущения'!$B$8*'Допущения'!D37*$B43*(1+'Допущения'!$B$13)^3</x:f>
        <x:v>0</x:v>
      </x:c>
      <x:c r="J43" s="7" t="n">
        <x:f>SUM(C43:I43)</x:f>
        <x:v>1749150.0041857527</x:v>
      </x:c>
      <x:c r="K43" s="9" t="n">
        <x:f>J43/(1+'Допущения'!$B$9)</x:f>
        <x:v>1665857.146843574</x:v>
      </x:c>
      <x:c r="L43" s="9" t="n">
        <x:f>C43/(1+'Допущения'!$B$9)*'Допущения'!E31+'Допущения'!C31*'Допущения'!$B$8*$B43*'Допущения'!F31*(1+'Допущения'!$B$14)^3+D43/(1+'Допущения'!$B$9)*'Допущения'!E32+'Допущения'!C32*'Допущения'!$B$8*$B43*'Допущения'!F32*(1+'Допущения'!$B$14)^3+E43/(1+'Допущения'!$B$9)*'Допущения'!E33+'Допущения'!C33*'Допущения'!$B$8*$B43*'Допущения'!F33*(1+'Допущения'!$B$14)^3+F43/(1+'Допущения'!$B$9)*'Допущения'!E34+'Допущения'!C34*'Допущения'!$B$8*$B43*'Допущения'!F34*(1+'Допущения'!$B$14)^3+G43/(1+'Допущения'!$B$9)*'Допущения'!E35+'Допущения'!C35*'Допущения'!$B$8*$B43*'Допущения'!F35*(1+'Допущения'!$B$14)^3+H43/(1+'Допущения'!$B$9)*'Допущения'!E36+'Допущения'!C36*'Допущения'!$B$8*$B43*'Допущения'!F36*(1+'Допущения'!$B$14)^3+I43/(1+'Допущения'!$B$9)*'Допущения'!E37+'Допущения'!C37*'Допущения'!$B$8*$B43*'Допущения'!F37*(1+'Допущения'!$B$14)^3</x:f>
        <x:v>194623.3559577947</x:v>
      </x:c>
      <x:c r="M43" s="9" t="n">
        <x:f>J43*'Допущения'!$B$11</x:f>
        <x:v>34983.00008371506</x:v>
      </x:c>
      <x:c r="N43" s="9" t="n">
        <x:f>'Инвестиции'!$C$35*(1+'Допущения'!$B$14)^3</x:f>
        <x:v>640779.6376012501</x:v>
      </x:c>
      <x:c r="O43" s="9" t="n">
        <x:f>K43*'Допущения'!$B$10</x:f>
        <x:v>99951.42881061444</x:v>
      </x:c>
      <x:c r="P43" s="9" t="n">
        <x:f>K43*'Допущения'!$B$12</x:f>
        <x:v>33317.14293687148</x:v>
      </x:c>
      <x:c r="Q43" s="7" t="n">
        <x:f>K43-L43-M43-N43</x:f>
        <x:v>795471.1532008143</x:v>
      </x:c>
      <x:c r="R43" s="7" t="n">
        <x:f>Q43-O43-P43</x:f>
        <x:v>662202.5814533284</x:v>
      </x:c>
      <x:c r="S43" s="7" t="n">
        <x:f>S42+R43</x:f>
        <x:v>10347321.808780149</x:v>
      </x:c>
      <x:c r="T43" s="7" t="n">
        <x:f>IF(S43&gt;=0,A43,999)</x:f>
        <x:v>37</x:v>
      </x:c>
      <x:c r="U43" s="22" t="n">
        <x:f>'Допущения'!C31*'Допущения'!$B$8*B43*'Допущения'!$B$17/'Допущения'!$B$18/'Допущения'!$B$16</x:f>
        <x:v>6.786610169491525</x:v>
      </x:c>
      <x:c r="V43" s="7"/>
      <x:c r="W43" s="7"/>
    </x:row>
    <x:row r="44" ht="23" customHeight="1">
      <x:c r="A44" s="1" t="n">
        <x:v>38</x:v>
      </x:c>
      <x:c r="B44" s="17" t="n">
        <x:f>'Допущения'!C43*'Допущения'!D53</x:f>
        <x:v>1.0677966101694916</x:v>
      </x:c>
      <x:c r="C44" s="9" t="n">
        <x:f>'Допущения'!C31*'Допущения'!$B$8*'Допущения'!D31*$B44*(1+'Допущения'!$B$13)^3</x:f>
        <x:v>1012272.0112975425</x:v>
      </x:c>
      <x:c r="D44" s="9" t="n">
        <x:f>'Допущения'!C32*'Допущения'!$B$8*'Допущения'!D32*$B44*(1+'Допущения'!$B$13)^3</x:f>
        <x:v>43605.56356358644</x:v>
      </x:c>
      <x:c r="E44" s="9" t="n">
        <x:f>'Допущения'!C33*'Допущения'!$B$8*'Допущения'!D33*$B44*(1+'Допущения'!$B$13)^3</x:f>
        <x:v>163520.86336344914</x:v>
      </x:c>
      <x:c r="F44" s="9" t="n">
        <x:f>'Допущения'!C34*'Допущения'!$B$8*'Допущения'!D34*$B44*(1+'Допущения'!$B$13)^3</x:f>
        <x:v>164386.05311669497</x:v>
      </x:c>
      <x:c r="G44" s="9" t="n">
        <x:f>'Допущения'!C35*'Допущения'!$B$8*'Допущения'!D35*$B44*(1+'Допущения'!$B$13)^3</x:f>
        <x:v>261633.38138151867</x:v>
      </x:c>
      <x:c r="H44" s="9" t="n">
        <x:f>'Допущения'!C36*'Допущения'!$B$8*'Допущения'!D36*$B44*(1+'Допущения'!$B$13)^3</x:f>
        <x:v>24225.313090881362</x:v>
      </x:c>
      <x:c r="I44" s="9" t="n">
        <x:f>'Допущения'!C37*'Допущения'!$B$8*'Допущения'!D37*$B44*(1+'Допущения'!$B$13)^3</x:f>
        <x:v>0</x:v>
      </x:c>
      <x:c r="J44" s="7" t="n">
        <x:f>SUM(C44:I44)</x:f>
        <x:v>1669643.185813673</x:v>
      </x:c>
      <x:c r="K44" s="9" t="n">
        <x:f>J44/(1+'Допущения'!$B$9)</x:f>
        <x:v>1590136.3674415934</x:v>
      </x:c>
      <x:c r="L44" s="9" t="n">
        <x:f>C44/(1+'Допущения'!$B$9)*'Допущения'!E31+'Допущения'!C31*'Допущения'!$B$8*$B44*'Допущения'!F31*(1+'Допущения'!$B$14)^3+D44/(1+'Допущения'!$B$9)*'Допущения'!E32+'Допущения'!C32*'Допущения'!$B$8*$B44*'Допущения'!F32*(1+'Допущения'!$B$14)^3+E44/(1+'Допущения'!$B$9)*'Допущения'!E33+'Допущения'!C33*'Допущения'!$B$8*$B44*'Допущения'!F33*(1+'Допущения'!$B$14)^3+F44/(1+'Допущения'!$B$9)*'Допущения'!E34+'Допущения'!C34*'Допущения'!$B$8*$B44*'Допущения'!F34*(1+'Допущения'!$B$14)^3+G44/(1+'Допущения'!$B$9)*'Допущения'!E35+'Допущения'!C35*'Допущения'!$B$8*$B44*'Допущения'!F35*(1+'Допущения'!$B$14)^3+H44/(1+'Допущения'!$B$9)*'Допущения'!E36+'Допущения'!C36*'Допущения'!$B$8*$B44*'Допущения'!F36*(1+'Допущения'!$B$14)^3+I44/(1+'Допущения'!$B$9)*'Допущения'!E37+'Допущения'!C37*'Допущения'!$B$8*$B44*'Допущения'!F37*(1+'Допущения'!$B$14)^3</x:f>
        <x:v>185776.83977789493</x:v>
      </x:c>
      <x:c r="M44" s="9" t="n">
        <x:f>J44*'Допущения'!$B$11</x:f>
        <x:v>33392.86371627346</x:v>
      </x:c>
      <x:c r="N44" s="9" t="n">
        <x:f>'Инвестиции'!$C$35*(1+'Допущения'!$B$14)^3</x:f>
        <x:v>640779.6376012501</x:v>
      </x:c>
      <x:c r="O44" s="9" t="n">
        <x:f>K44*'Допущения'!$B$10</x:f>
        <x:v>95408.1820464956</x:v>
      </x:c>
      <x:c r="P44" s="9" t="n">
        <x:f>K44*'Допущения'!$B$12</x:f>
        <x:v>31802.727348831868</x:v>
      </x:c>
      <x:c r="Q44" s="7" t="n">
        <x:f>K44-L44-M44-N44</x:f>
        <x:v>730187.0263461748</x:v>
      </x:c>
      <x:c r="R44" s="7" t="n">
        <x:f>Q44-O44-P44</x:f>
        <x:v>602976.1169508473</x:v>
      </x:c>
      <x:c r="S44" s="7" t="n">
        <x:f>S43+R44</x:f>
        <x:v>10950297.925730996</x:v>
      </x:c>
      <x:c r="T44" s="7" t="n">
        <x:f>IF(S44&gt;=0,A44,999)</x:f>
        <x:v>38</x:v>
      </x:c>
      <x:c r="U44" s="22" t="n">
        <x:f>'Допущения'!C31*'Допущения'!$B$8*B44*'Допущения'!$B$17/'Допущения'!$B$18/'Допущения'!$B$16</x:f>
        <x:v>6.478127889060094</x:v>
      </x:c>
      <x:c r="V44" s="7"/>
      <x:c r="W44" s="7"/>
    </x:row>
    <x:row r="45" ht="23" customHeight="1">
      <x:c r="A45" s="1" t="n">
        <x:v>39</x:v>
      </x:c>
      <x:c r="B45" s="17" t="n">
        <x:f>'Допущения'!C44*'Допущения'!D53</x:f>
        <x:v>1.0169491525423728</x:v>
      </x:c>
      <x:c r="C45" s="9" t="n">
        <x:f>'Допущения'!C31*'Допущения'!$B$8*'Допущения'!D31*$B45*(1+'Допущения'!$B$13)^3</x:f>
        <x:v>964068.5821881356</x:v>
      </x:c>
      <x:c r="D45" s="9" t="n">
        <x:f>'Допущения'!C32*'Допущения'!$B$8*'Допущения'!D32*$B45*(1+'Допущения'!$B$13)^3</x:f>
        <x:v>41529.1081557966</x:v>
      </x:c>
      <x:c r="E45" s="9" t="n">
        <x:f>'Допущения'!C33*'Допущения'!$B$8*'Допущения'!D33*$B45*(1+'Допущения'!$B$13)^3</x:f>
        <x:v>155734.15558423725</x:v>
      </x:c>
      <x:c r="F45" s="9" t="n">
        <x:f>'Допущения'!C34*'Допущения'!$B$8*'Допущения'!D34*$B45*(1+'Допущения'!$B$13)^3</x:f>
        <x:v>156558.14582542374</x:v>
      </x:c>
      <x:c r="G45" s="9" t="n">
        <x:f>'Допущения'!C35*'Допущения'!$B$8*'Допущения'!D35*$B45*(1+'Допущения'!$B$13)^3</x:f>
        <x:v>249174.64893477966</x:v>
      </x:c>
      <x:c r="H45" s="9" t="n">
        <x:f>'Допущения'!C36*'Допущения'!$B$8*'Допущения'!D36*$B45*(1+'Допущения'!$B$13)^3</x:f>
        <x:v>23071.726753220344</x:v>
      </x:c>
      <x:c r="I45" s="9" t="n">
        <x:f>'Допущения'!C37*'Допущения'!$B$8*'Допущения'!D37*$B45*(1+'Допущения'!$B$13)^3</x:f>
        <x:v>0</x:v>
      </x:c>
      <x:c r="J45" s="7" t="n">
        <x:f>SUM(C45:I45)</x:f>
        <x:v>1590136.3674415934</x:v>
      </x:c>
      <x:c r="K45" s="9" t="n">
        <x:f>J45/(1+'Допущения'!$B$9)</x:f>
        <x:v>1514415.5880396126</x:v>
      </x:c>
      <x:c r="L45" s="9" t="n">
        <x:f>C45/(1+'Допущения'!$B$9)*'Допущения'!E31+'Допущения'!C31*'Допущения'!$B$8*$B45*'Допущения'!F31*(1+'Допущения'!$B$14)^3+D45/(1+'Допущения'!$B$9)*'Допущения'!E32+'Допущения'!C32*'Допущения'!$B$8*$B45*'Допущения'!F32*(1+'Допущения'!$B$14)^3+E45/(1+'Допущения'!$B$9)*'Допущения'!E33+'Допущения'!C33*'Допущения'!$B$8*$B45*'Допущения'!F33*(1+'Допущения'!$B$14)^3+F45/(1+'Допущения'!$B$9)*'Допущения'!E34+'Допущения'!C34*'Допущения'!$B$8*$B45*'Допущения'!F34*(1+'Допущения'!$B$14)^3+G45/(1+'Допущения'!$B$9)*'Допущения'!E35+'Допущения'!C35*'Допущения'!$B$8*$B45*'Допущения'!F35*(1+'Допущения'!$B$14)^3+H45/(1+'Допущения'!$B$9)*'Допущения'!E36+'Допущения'!C36*'Допущения'!$B$8*$B45*'Допущения'!F36*(1+'Допущения'!$B$14)^3+I45/(1+'Допущения'!$B$9)*'Допущения'!E37+'Допущения'!C37*'Допущения'!$B$8*$B45*'Допущения'!F37*(1+'Допущения'!$B$14)^3</x:f>
        <x:v>176930.32359799516</x:v>
      </x:c>
      <x:c r="M45" s="9" t="n">
        <x:f>J45*'Допущения'!$B$11</x:f>
        <x:v>31802.727348831868</x:v>
      </x:c>
      <x:c r="N45" s="9" t="n">
        <x:f>'Инвестиции'!$C$35*(1+'Допущения'!$B$14)^3</x:f>
        <x:v>640779.6376012501</x:v>
      </x:c>
      <x:c r="O45" s="9" t="n">
        <x:f>K45*'Допущения'!$B$10</x:f>
        <x:v>90864.93528237675</x:v>
      </x:c>
      <x:c r="P45" s="9" t="n">
        <x:f>K45*'Допущения'!$B$12</x:f>
        <x:v>30288.311760792254</x:v>
      </x:c>
      <x:c r="Q45" s="7" t="n">
        <x:f>K45-L45-M45-N45</x:f>
        <x:v>664902.8994915355</x:v>
      </x:c>
      <x:c r="R45" s="7" t="n">
        <x:f>Q45-O45-P45</x:f>
        <x:v>543749.6524483665</x:v>
      </x:c>
      <x:c r="S45" s="7" t="n">
        <x:f>S44+R45</x:f>
        <x:v>11494047.578179363</x:v>
      </x:c>
      <x:c r="T45" s="7" t="n">
        <x:f>IF(S45&gt;=0,A45,999)</x:f>
        <x:v>39</x:v>
      </x:c>
      <x:c r="U45" s="22" t="n">
        <x:f>'Допущения'!C31*'Допущения'!$B$8*B45*'Допущения'!$B$17/'Допущения'!$B$18/'Допущения'!$B$16</x:f>
        <x:v>6.1696456086286595</x:v>
      </x:c>
      <x:c r="V45" s="7"/>
      <x:c r="W45" s="7"/>
    </x:row>
    <x:row r="46" ht="23" customHeight="1">
      <x:c r="A46" s="1" t="n">
        <x:v>40</x:v>
      </x:c>
      <x:c r="B46" s="17" t="n">
        <x:f>'Допущения'!C45*'Допущения'!D53</x:f>
        <x:v>0.9152542372881356</x:v>
      </x:c>
      <x:c r="C46" s="9" t="n">
        <x:f>'Допущения'!C31*'Допущения'!$B$8*'Допущения'!D31*$B46*(1+'Допущения'!$B$13)^3</x:f>
        <x:v>867661.723969322</x:v>
      </x:c>
      <x:c r="D46" s="9" t="n">
        <x:f>'Допущения'!C32*'Допущения'!$B$8*'Допущения'!D32*$B46*(1+'Допущения'!$B$13)^3</x:f>
        <x:v>37376.19734021695</x:v>
      </x:c>
      <x:c r="E46" s="9" t="n">
        <x:f>'Допущения'!C33*'Допущения'!$B$8*'Допущения'!D33*$B46*(1+'Допущения'!$B$13)^3</x:f>
        <x:v>140160.74002581355</x:v>
      </x:c>
      <x:c r="F46" s="9" t="n">
        <x:f>'Допущения'!C34*'Допущения'!$B$8*'Допущения'!D34*$B46*(1+'Допущения'!$B$13)^3</x:f>
        <x:v>140902.3312428814</x:v>
      </x:c>
      <x:c r="G46" s="9" t="n">
        <x:f>'Допущения'!C35*'Допущения'!$B$8*'Допущения'!D35*$B46*(1+'Допущения'!$B$13)^3</x:f>
        <x:v>224257.18404130172</x:v>
      </x:c>
      <x:c r="H46" s="9" t="n">
        <x:f>'Допущения'!C36*'Допущения'!$B$8*'Допущения'!D36*$B46*(1+'Допущения'!$B$13)^3</x:f>
        <x:v>20764.554077898312</x:v>
      </x:c>
      <x:c r="I46" s="9" t="n">
        <x:f>'Допущения'!C37*'Допущения'!$B$8*'Допущения'!D37*$B46*(1+'Допущения'!$B$13)^3</x:f>
        <x:v>0</x:v>
      </x:c>
      <x:c r="J46" s="7" t="n">
        <x:f>SUM(C46:I46)</x:f>
        <x:v>1431122.7306974342</x:v>
      </x:c>
      <x:c r="K46" s="9" t="n">
        <x:f>J46/(1+'Допущения'!$B$9)</x:f>
        <x:v>1362974.0292356515</x:v>
      </x:c>
      <x:c r="L46" s="9" t="n">
        <x:f>C46/(1+'Допущения'!$B$9)*'Допущения'!E31+'Допущения'!C31*'Допущения'!$B$8*$B46*'Допущения'!F31*(1+'Допущения'!$B$14)^3+D46/(1+'Допущения'!$B$9)*'Допущения'!E32+'Допущения'!C32*'Допущения'!$B$8*$B46*'Допущения'!F32*(1+'Допущения'!$B$14)^3+E46/(1+'Допущения'!$B$9)*'Допущения'!E33+'Допущения'!C33*'Допущения'!$B$8*$B46*'Допущения'!F33*(1+'Допущения'!$B$14)^3+F46/(1+'Допущения'!$B$9)*'Допущения'!E34+'Допущения'!C34*'Допущения'!$B$8*$B46*'Допущения'!F34*(1+'Допущения'!$B$14)^3+G46/(1+'Допущения'!$B$9)*'Допущения'!E35+'Допущения'!C35*'Допущения'!$B$8*$B46*'Допущения'!F35*(1+'Допущения'!$B$14)^3+H46/(1+'Допущения'!$B$9)*'Допущения'!E36+'Допущения'!C36*'Допущения'!$B$8*$B46*'Допущения'!F36*(1+'Допущения'!$B$14)^3+I46/(1+'Допущения'!$B$9)*'Допущения'!E37+'Допущения'!C37*'Допущения'!$B$8*$B46*'Допущения'!F37*(1+'Допущения'!$B$14)^3</x:f>
        <x:v>159237.29123819567</x:v>
      </x:c>
      <x:c r="M46" s="9" t="n">
        <x:f>J46*'Допущения'!$B$11</x:f>
        <x:v>28622.454613948685</x:v>
      </x:c>
      <x:c r="N46" s="9" t="n">
        <x:f>'Инвестиции'!$C$35*(1+'Допущения'!$B$14)^3</x:f>
        <x:v>640779.6376012501</x:v>
      </x:c>
      <x:c r="O46" s="9" t="n">
        <x:f>K46*'Допущения'!$B$10</x:f>
        <x:v>81778.44175413909</x:v>
      </x:c>
      <x:c r="P46" s="9" t="n">
        <x:f>K46*'Допущения'!$B$12</x:f>
        <x:v>27259.48058471303</x:v>
      </x:c>
      <x:c r="Q46" s="7" t="n">
        <x:f>K46-L46-M46-N46</x:f>
        <x:v>534334.645782257</x:v>
      </x:c>
      <x:c r="R46" s="7" t="n">
        <x:f>Q46-O46-P46</x:f>
        <x:v>425296.72344340483</x:v>
      </x:c>
      <x:c r="S46" s="7" t="n">
        <x:f>S45+R46</x:f>
        <x:v>11919344.301622769</x:v>
      </x:c>
      <x:c r="T46" s="7" t="n">
        <x:f>IF(S46&gt;=0,A46,999)</x:f>
        <x:v>40</x:v>
      </x:c>
      <x:c r="U46" s="22" t="n">
        <x:f>'Допущения'!C31*'Допущения'!$B$8*B46*'Допущения'!$B$17/'Допущения'!$B$18/'Допущения'!$B$16</x:f>
        <x:v>5.552681047765794</x:v>
      </x:c>
      <x:c r="V46" s="7"/>
      <x:c r="W46" s="7"/>
    </x:row>
    <x:row r="47" ht="23" customHeight="1">
      <x:c r="A47" s="1" t="n">
        <x:v>41</x:v>
      </x:c>
      <x:c r="B47" s="17" t="n">
        <x:f>'Допущения'!C46*'Допущения'!D53</x:f>
        <x:v>0.8644067796610169</x:v>
      </x:c>
      <x:c r="C47" s="9" t="n">
        <x:f>'Допущения'!C31*'Допущения'!$B$8*'Допущения'!D31*$B47*(1+'Допущения'!$B$13)^3</x:f>
        <x:v>819458.2948599153</x:v>
      </x:c>
      <x:c r="D47" s="9" t="n">
        <x:f>'Допущения'!C32*'Допущения'!$B$8*'Допущения'!D32*$B47*(1+'Допущения'!$B$13)^3</x:f>
        <x:v>35299.74193242712</x:v>
      </x:c>
      <x:c r="E47" s="9" t="n">
        <x:f>'Допущения'!C33*'Допущения'!$B$8*'Допущения'!D33*$B47*(1+'Допущения'!$B$13)^3</x:f>
        <x:v>132374.03224660165</x:v>
      </x:c>
      <x:c r="F47" s="9" t="n">
        <x:f>'Допущения'!C34*'Допущения'!$B$8*'Допущения'!D34*$B47*(1+'Допущения'!$B$13)^3</x:f>
        <x:v>133074.42395161017</x:v>
      </x:c>
      <x:c r="G47" s="9" t="n">
        <x:f>'Допущения'!C35*'Допущения'!$B$8*'Допущения'!D35*$B47*(1+'Допущения'!$B$13)^3</x:f>
        <x:v>211798.4515945627</x:v>
      </x:c>
      <x:c r="H47" s="9" t="n">
        <x:f>'Допущения'!C36*'Допущения'!$B$8*'Допущения'!D36*$B47*(1+'Допущения'!$B$13)^3</x:f>
        <x:v>19610.96774023729</x:v>
      </x:c>
      <x:c r="I47" s="9" t="n">
        <x:f>'Допущения'!C37*'Допущения'!$B$8*'Допущения'!D37*$B47*(1+'Допущения'!$B$13)^3</x:f>
        <x:v>0</x:v>
      </x:c>
      <x:c r="J47" s="7" t="n">
        <x:f>SUM(C47:I47)</x:f>
        <x:v>1351615.9123253543</x:v>
      </x:c>
      <x:c r="K47" s="9" t="n">
        <x:f>J47/(1+'Допущения'!$B$9)</x:f>
        <x:v>1287253.2498336707</x:v>
      </x:c>
      <x:c r="L47" s="9" t="n">
        <x:f>C47/(1+'Допущения'!$B$9)*'Допущения'!E31+'Допущения'!C31*'Допущения'!$B$8*$B47*'Допущения'!F31*(1+'Допущения'!$B$14)^3+D47/(1+'Допущения'!$B$9)*'Допущения'!E32+'Допущения'!C32*'Допущения'!$B$8*$B47*'Допущения'!F32*(1+'Допущения'!$B$14)^3+E47/(1+'Допущения'!$B$9)*'Допущения'!E33+'Допущения'!C33*'Допущения'!$B$8*$B47*'Допущения'!F33*(1+'Допущения'!$B$14)^3+F47/(1+'Допущения'!$B$9)*'Допущения'!E34+'Допущения'!C34*'Допущения'!$B$8*$B47*'Допущения'!F34*(1+'Допущения'!$B$14)^3+G47/(1+'Допущения'!$B$9)*'Допущения'!E35+'Допущения'!C35*'Допущения'!$B$8*$B47*'Допущения'!F35*(1+'Допущения'!$B$14)^3+H47/(1+'Допущения'!$B$9)*'Допущения'!E36+'Допущения'!C36*'Допущения'!$B$8*$B47*'Допущения'!F36*(1+'Допущения'!$B$14)^3+I47/(1+'Допущения'!$B$9)*'Допущения'!E37+'Допущения'!C37*'Допущения'!$B$8*$B47*'Допущения'!F37*(1+'Допущения'!$B$14)^3</x:f>
        <x:v>150390.7750582959</x:v>
      </x:c>
      <x:c r="M47" s="9" t="n">
        <x:f>J47*'Допущения'!$B$11</x:f>
        <x:v>27032.318246507086</x:v>
      </x:c>
      <x:c r="N47" s="9" t="n">
        <x:f>'Инвестиции'!$C$35*(1+'Допущения'!$B$14)^3</x:f>
        <x:v>640779.6376012501</x:v>
      </x:c>
      <x:c r="O47" s="9" t="n">
        <x:f>K47*'Допущения'!$B$10</x:f>
        <x:v>77235.19499002023</x:v>
      </x:c>
      <x:c r="P47" s="9" t="n">
        <x:f>K47*'Допущения'!$B$12</x:f>
        <x:v>25745.064996673413</x:v>
      </x:c>
      <x:c r="Q47" s="7" t="n">
        <x:f>K47-L47-M47-N47</x:f>
        <x:v>469050.5189276177</x:v>
      </x:c>
      <x:c r="R47" s="7" t="n">
        <x:f>Q47-O47-P47</x:f>
        <x:v>366070.258940924</x:v>
      </x:c>
      <x:c r="S47" s="7" t="n">
        <x:f>S46+R47</x:f>
        <x:v>12285414.560563693</x:v>
      </x:c>
      <x:c r="T47" s="7" t="n">
        <x:f>IF(S47&gt;=0,A47,999)</x:f>
        <x:v>41</x:v>
      </x:c>
      <x:c r="U47" s="22" t="n">
        <x:f>'Допущения'!C31*'Допущения'!$B$8*B47*'Допущения'!$B$17/'Допущения'!$B$18/'Допущения'!$B$16</x:f>
        <x:v>5.24419876733436</x:v>
      </x:c>
      <x:c r="V47" s="7"/>
      <x:c r="W47" s="7"/>
    </x:row>
    <x:row r="48" ht="23" customHeight="1">
      <x:c r="A48" s="1" t="n">
        <x:v>42</x:v>
      </x:c>
      <x:c r="B48" s="17" t="n">
        <x:f>'Допущения'!C47*'Допущения'!D53</x:f>
        <x:v>0.7118644067796609</x:v>
      </x:c>
      <x:c r="C48" s="9" t="n">
        <x:f>'Допущения'!C31*'Допущения'!$B$8*'Допущения'!D31*$B48*(1+'Допущения'!$B$13)^3</x:f>
        <x:v>674848.0075316948</x:v>
      </x:c>
      <x:c r="D48" s="9" t="n">
        <x:f>'Допущения'!C32*'Допущения'!$B$8*'Допущения'!D32*$B48*(1+'Допущения'!$B$13)^3</x:f>
        <x:v>29070.375709057622</x:v>
      </x:c>
      <x:c r="E48" s="9" t="n">
        <x:f>'Допущения'!C33*'Допущения'!$B$8*'Допущения'!D33*$B48*(1+'Допущения'!$B$13)^3</x:f>
        <x:v>109013.90890896607</x:v>
      </x:c>
      <x:c r="F48" s="9" t="n">
        <x:f>'Допущения'!C34*'Допущения'!$B$8*'Допущения'!D34*$B48*(1+'Допущения'!$B$13)^3</x:f>
        <x:v>109590.70207779661</x:v>
      </x:c>
      <x:c r="G48" s="9" t="n">
        <x:f>'Допущения'!C35*'Допущения'!$B$8*'Допущения'!D35*$B48*(1+'Допущения'!$B$13)^3</x:f>
        <x:v>174422.25425434572</x:v>
      </x:c>
      <x:c r="H48" s="9" t="n">
        <x:f>'Допущения'!C36*'Допущения'!$B$8*'Допущения'!D36*$B48*(1+'Допущения'!$B$13)^3</x:f>
        <x:v>16150.208727254238</x:v>
      </x:c>
      <x:c r="I48" s="9" t="n">
        <x:f>'Допущения'!C37*'Допущения'!$B$8*'Допущения'!D37*$B48*(1+'Допущения'!$B$13)^3</x:f>
        <x:v>0</x:v>
      </x:c>
      <x:c r="J48" s="7" t="n">
        <x:f>SUM(C48:I48)</x:f>
        <x:v>1113095.4572091151</x:v>
      </x:c>
      <x:c r="K48" s="9" t="n">
        <x:f>J48/(1+'Допущения'!$B$9)</x:f>
        <x:v>1060090.9116277287</x:v>
      </x:c>
      <x:c r="L48" s="9" t="n">
        <x:f>C48/(1+'Допущения'!$B$9)*'Допущения'!E31+'Допущения'!C31*'Допущения'!$B$8*$B48*'Допущения'!F31*(1+'Допущения'!$B$14)^3+D48/(1+'Допущения'!$B$9)*'Допущения'!E32+'Допущения'!C32*'Допущения'!$B$8*$B48*'Допущения'!F32*(1+'Допущения'!$B$14)^3+E48/(1+'Допущения'!$B$9)*'Допущения'!E33+'Допущения'!C33*'Допущения'!$B$8*$B48*'Допущения'!F33*(1+'Допущения'!$B$14)^3+F48/(1+'Допущения'!$B$9)*'Допущения'!E34+'Допущения'!C34*'Допущения'!$B$8*$B48*'Допущения'!F34*(1+'Допущения'!$B$14)^3+G48/(1+'Допущения'!$B$9)*'Допущения'!E35+'Допущения'!C35*'Допущения'!$B$8*$B48*'Допущения'!F35*(1+'Допущения'!$B$14)^3+H48/(1+'Допущения'!$B$9)*'Допущения'!E36+'Допущения'!C36*'Допущения'!$B$8*$B48*'Допущения'!F36*(1+'Допущения'!$B$14)^3+I48/(1+'Допущения'!$B$9)*'Допущения'!E37+'Допущения'!C37*'Допущения'!$B$8*$B48*'Допущения'!F37*(1+'Допущения'!$B$14)^3</x:f>
        <x:v>123851.22651859658</x:v>
      </x:c>
      <x:c r="M48" s="9" t="n">
        <x:f>J48*'Допущения'!$B$11</x:f>
        <x:v>22261.909144182304</x:v>
      </x:c>
      <x:c r="N48" s="9" t="n">
        <x:f>'Инвестиции'!$C$35*(1+'Допущения'!$B$14)^3</x:f>
        <x:v>640779.6376012501</x:v>
      </x:c>
      <x:c r="O48" s="9" t="n">
        <x:f>K48*'Допущения'!$B$10</x:f>
        <x:v>63605.45469766372</x:v>
      </x:c>
      <x:c r="P48" s="9" t="n">
        <x:f>K48*'Допущения'!$B$12</x:f>
        <x:v>21201.818232554575</x:v>
      </x:c>
      <x:c r="Q48" s="7" t="n">
        <x:f>K48-L48-M48-N48</x:f>
        <x:v>273198.1383636998</x:v>
      </x:c>
      <x:c r="R48" s="7" t="n">
        <x:f>Q48-O48-P48</x:f>
        <x:v>188390.8654334815</x:v>
      </x:c>
      <x:c r="S48" s="7" t="n">
        <x:f>S47+R48</x:f>
        <x:v>12473805.425997173</x:v>
      </x:c>
      <x:c r="T48" s="7" t="n">
        <x:f>IF(S48&gt;=0,A48,999)</x:f>
        <x:v>42</x:v>
      </x:c>
      <x:c r="U48" s="22" t="n">
        <x:f>'Допущения'!C31*'Допущения'!$B$8*B48*'Допущения'!$B$17/'Допущения'!$B$18/'Допущения'!$B$16</x:f>
        <x:v>4.318751926040061</x:v>
      </x:c>
      <x:c r="V48" s="7"/>
      <x:c r="W48" s="7"/>
    </x:row>
    <x:row r="49" ht="23" customHeight="1">
      <x:c r="A49" s="1" t="n">
        <x:v>43</x:v>
      </x:c>
      <x:c r="B49" s="17" t="n">
        <x:f>'Допущения'!C48*'Допущения'!D53</x:f>
        <x:v>0.7627118644067796</x:v>
      </x:c>
      <x:c r="C49" s="9" t="n">
        <x:f>'Допущения'!C31*'Допущения'!$B$8*'Допущения'!D31*$B49*(1+'Допущения'!$B$13)^3</x:f>
        <x:v>723051.4366411017</x:v>
      </x:c>
      <x:c r="D49" s="9" t="n">
        <x:f>'Допущения'!C32*'Допущения'!$B$8*'Допущения'!D32*$B49*(1+'Допущения'!$B$13)^3</x:f>
        <x:v>31146.831116847457</x:v>
      </x:c>
      <x:c r="E49" s="9" t="n">
        <x:f>'Допущения'!C33*'Допущения'!$B$8*'Допущения'!D33*$B49*(1+'Допущения'!$B$13)^3</x:f>
        <x:v>116800.61668817794</x:v>
      </x:c>
      <x:c r="F49" s="9" t="n">
        <x:f>'Допущения'!C34*'Допущения'!$B$8*'Допущения'!D34*$B49*(1+'Допущения'!$B$13)^3</x:f>
        <x:v>117418.60936906782</x:v>
      </x:c>
      <x:c r="G49" s="9" t="n">
        <x:f>'Допущения'!C35*'Допущения'!$B$8*'Допущения'!D35*$B49*(1+'Допущения'!$B$13)^3</x:f>
        <x:v>186880.98670108474</x:v>
      </x:c>
      <x:c r="H49" s="9" t="n">
        <x:f>'Допущения'!C36*'Допущения'!$B$8*'Допущения'!D36*$B49*(1+'Допущения'!$B$13)^3</x:f>
        <x:v>17303.795064915255</x:v>
      </x:c>
      <x:c r="I49" s="9" t="n">
        <x:f>'Допущения'!C37*'Допущения'!$B$8*'Допущения'!D37*$B49*(1+'Допущения'!$B$13)^3</x:f>
        <x:v>0</x:v>
      </x:c>
      <x:c r="J49" s="7" t="n">
        <x:f>SUM(C49:I49)</x:f>
        <x:v>1192602.2755811948</x:v>
      </x:c>
      <x:c r="K49" s="9" t="n">
        <x:f>J49/(1+'Допущения'!$B$9)</x:f>
        <x:v>1135811.6910297093</x:v>
      </x:c>
      <x:c r="L49" s="9" t="n">
        <x:f>C49/(1+'Допущения'!$B$9)*'Допущения'!E31+'Допущения'!C31*'Допущения'!$B$8*$B49*'Допущения'!F31*(1+'Допущения'!$B$14)^3+D49/(1+'Допущения'!$B$9)*'Допущения'!E32+'Допущения'!C32*'Допущения'!$B$8*$B49*'Допущения'!F32*(1+'Допущения'!$B$14)^3+E49/(1+'Допущения'!$B$9)*'Допущения'!E33+'Допущения'!C33*'Допущения'!$B$8*$B49*'Допущения'!F33*(1+'Допущения'!$B$14)^3+F49/(1+'Допущения'!$B$9)*'Допущения'!E34+'Допущения'!C34*'Допущения'!$B$8*$B49*'Допущения'!F34*(1+'Допущения'!$B$14)^3+G49/(1+'Допущения'!$B$9)*'Допущения'!E35+'Допущения'!C35*'Допущения'!$B$8*$B49*'Допущения'!F35*(1+'Допущения'!$B$14)^3+H49/(1+'Допущения'!$B$9)*'Допущения'!E36+'Допущения'!C36*'Допущения'!$B$8*$B49*'Допущения'!F36*(1+'Допущения'!$B$14)^3+I49/(1+'Допущения'!$B$9)*'Допущения'!E37+'Допущения'!C37*'Допущения'!$B$8*$B49*'Допущения'!F37*(1+'Допущения'!$B$14)^3</x:f>
        <x:v>132697.74269849635</x:v>
      </x:c>
      <x:c r="M49" s="9" t="n">
        <x:f>J49*'Допущения'!$B$11</x:f>
        <x:v>23852.045511623895</x:v>
      </x:c>
      <x:c r="N49" s="9" t="n">
        <x:f>'Инвестиции'!$C$35*(1+'Допущения'!$B$14)^3</x:f>
        <x:v>640779.6376012501</x:v>
      </x:c>
      <x:c r="O49" s="9" t="n">
        <x:f>K49*'Допущения'!$B$10</x:f>
        <x:v>68148.70146178256</x:v>
      </x:c>
      <x:c r="P49" s="9" t="n">
        <x:f>K49*'Допущения'!$B$12</x:f>
        <x:v>22716.233820594185</x:v>
      </x:c>
      <x:c r="Q49" s="7" t="n">
        <x:f>K49-L49-M49-N49</x:f>
        <x:v>338482.26521833905</x:v>
      </x:c>
      <x:c r="R49" s="7" t="n">
        <x:f>Q49-O49-P49</x:f>
        <x:v>247617.3299359623</x:v>
      </x:c>
      <x:c r="S49" s="7" t="n">
        <x:f>S48+R49</x:f>
        <x:v>12721422.755933136</x:v>
      </x:c>
      <x:c r="T49" s="7" t="n">
        <x:f>IF(S49&gt;=0,A49,999)</x:f>
        <x:v>43</x:v>
      </x:c>
      <x:c r="U49" s="22" t="n">
        <x:f>'Допущения'!C31*'Допущения'!$B$8*B49*'Допущения'!$B$17/'Допущения'!$B$18/'Допущения'!$B$16</x:f>
        <x:v>4.627234206471495</x:v>
      </x:c>
      <x:c r="V49" s="7"/>
      <x:c r="W49" s="7"/>
    </x:row>
    <x:row r="50" ht="23" customHeight="1">
      <x:c r="A50" s="1" t="n">
        <x:v>44</x:v>
      </x:c>
      <x:c r="B50" s="17" t="n">
        <x:f>'Допущения'!C49*'Допущения'!D53</x:f>
        <x:v>0.8135593220338982</x:v>
      </x:c>
      <x:c r="C50" s="9" t="n">
        <x:f>'Допущения'!C31*'Допущения'!$B$8*'Допущения'!D31*$B50*(1+'Допущения'!$B$13)^3</x:f>
        <x:v>771254.8657505084</x:v>
      </x:c>
      <x:c r="D50" s="9" t="n">
        <x:f>'Допущения'!C32*'Допущения'!$B$8*'Допущения'!D32*$B50*(1+'Допущения'!$B$13)^3</x:f>
        <x:v>33223.28652463728</x:v>
      </x:c>
      <x:c r="E50" s="9" t="n">
        <x:f>'Допущения'!C33*'Допущения'!$B$8*'Допущения'!D33*$B50*(1+'Допущения'!$B$13)^3</x:f>
        <x:v>124587.32446738979</x:v>
      </x:c>
      <x:c r="F50" s="9" t="n">
        <x:f>'Допущения'!C34*'Допущения'!$B$8*'Допущения'!D34*$B50*(1+'Допущения'!$B$13)^3</x:f>
        <x:v>125246.516660339</x:v>
      </x:c>
      <x:c r="G50" s="9" t="n">
        <x:f>'Допущения'!C35*'Допущения'!$B$8*'Допущения'!D35*$B50*(1+'Допущения'!$B$13)^3</x:f>
        <x:v>199339.71914782372</x:v>
      </x:c>
      <x:c r="H50" s="9" t="n">
        <x:f>'Допущения'!C36*'Допущения'!$B$8*'Допущения'!D36*$B50*(1+'Допущения'!$B$13)^3</x:f>
        <x:v>18457.381402576273</x:v>
      </x:c>
      <x:c r="I50" s="9" t="n">
        <x:f>'Допущения'!C37*'Допущения'!$B$8*'Допущения'!D37*$B50*(1+'Допущения'!$B$13)^3</x:f>
        <x:v>0</x:v>
      </x:c>
      <x:c r="J50" s="7" t="n">
        <x:f>SUM(C50:I50)</x:f>
        <x:v>1272109.0939532744</x:v>
      </x:c>
      <x:c r="K50" s="9" t="n">
        <x:f>J50/(1+'Допущения'!$B$9)</x:f>
        <x:v>1211532.4704316899</x:v>
      </x:c>
      <x:c r="L50" s="9" t="n">
        <x:f>C50/(1+'Допущения'!$B$9)*'Допущения'!E31+'Допущения'!C31*'Допущения'!$B$8*$B50*'Допущения'!F31*(1+'Допущения'!$B$14)^3+D50/(1+'Допущения'!$B$9)*'Допущения'!E32+'Допущения'!C32*'Допущения'!$B$8*$B50*'Допущения'!F32*(1+'Допущения'!$B$14)^3+E50/(1+'Допущения'!$B$9)*'Допущения'!E33+'Допущения'!C33*'Допущения'!$B$8*$B50*'Допущения'!F33*(1+'Допущения'!$B$14)^3+F50/(1+'Допущения'!$B$9)*'Допущения'!E34+'Допущения'!C34*'Допущения'!$B$8*$B50*'Допущения'!F34*(1+'Допущения'!$B$14)^3+G50/(1+'Допущения'!$B$9)*'Допущения'!E35+'Допущения'!C35*'Допущения'!$B$8*$B50*'Допущения'!F35*(1+'Допущения'!$B$14)^3+H50/(1+'Допущения'!$B$9)*'Допущения'!E36+'Допущения'!C36*'Допущения'!$B$8*$B50*'Допущения'!F36*(1+'Допущения'!$B$14)^3+I50/(1+'Допущения'!$B$9)*'Допущения'!E37+'Допущения'!C37*'Допущения'!$B$8*$B50*'Допущения'!F37*(1+'Допущения'!$B$14)^3</x:f>
        <x:v>141544.25887839613</x:v>
      </x:c>
      <x:c r="M50" s="9" t="n">
        <x:f>J50*'Допущения'!$B$11</x:f>
        <x:v>25442.18187906549</x:v>
      </x:c>
      <x:c r="N50" s="9" t="n">
        <x:f>'Инвестиции'!$C$35*(1+'Допущения'!$B$14)^3</x:f>
        <x:v>640779.6376012501</x:v>
      </x:c>
      <x:c r="O50" s="9" t="n">
        <x:f>K50*'Допущения'!$B$10</x:f>
        <x:v>72691.94822590139</x:v>
      </x:c>
      <x:c r="P50" s="9" t="n">
        <x:f>K50*'Допущения'!$B$12</x:f>
        <x:v>24230.6494086338</x:v>
      </x:c>
      <x:c r="Q50" s="7" t="n">
        <x:f>K50-L50-M50-N50</x:f>
        <x:v>403766.3920729782</x:v>
      </x:c>
      <x:c r="R50" s="7" t="n">
        <x:f>Q50-O50-P50</x:f>
        <x:v>306843.794438443</x:v>
      </x:c>
      <x:c r="S50" s="7" t="n">
        <x:f>S49+R50</x:f>
        <x:v>13028266.550371578</x:v>
      </x:c>
      <x:c r="T50" s="7" t="n">
        <x:f>IF(S50&gt;=0,A50,999)</x:f>
        <x:v>44</x:v>
      </x:c>
      <x:c r="U50" s="22" t="n">
        <x:f>'Допущения'!C31*'Допущения'!$B$8*B50*'Допущения'!$B$17/'Допущения'!$B$18/'Допущения'!$B$16</x:f>
        <x:v>4.935716486902928</x:v>
      </x:c>
      <x:c r="V50" s="7"/>
      <x:c r="W50" s="7"/>
    </x:row>
    <x:row r="51" ht="23" customHeight="1">
      <x:c r="A51" s="1" t="n">
        <x:v>45</x:v>
      </x:c>
      <x:c r="B51" s="17" t="n">
        <x:f>'Допущения'!C50*'Допущения'!D53</x:f>
        <x:v>1.0677966101694916</x:v>
      </x:c>
      <x:c r="C51" s="9" t="n">
        <x:f>'Допущения'!C31*'Допущения'!$B$8*'Допущения'!D31*$B51*(1+'Допущения'!$B$13)^3</x:f>
        <x:v>1012272.0112975425</x:v>
      </x:c>
      <x:c r="D51" s="9" t="n">
        <x:f>'Допущения'!C32*'Допущения'!$B$8*'Допущения'!D32*$B51*(1+'Допущения'!$B$13)^3</x:f>
        <x:v>43605.56356358644</x:v>
      </x:c>
      <x:c r="E51" s="9" t="n">
        <x:f>'Допущения'!C33*'Допущения'!$B$8*'Допущения'!D33*$B51*(1+'Допущения'!$B$13)^3</x:f>
        <x:v>163520.86336344914</x:v>
      </x:c>
      <x:c r="F51" s="9" t="n">
        <x:f>'Допущения'!C34*'Допущения'!$B$8*'Допущения'!D34*$B51*(1+'Допущения'!$B$13)^3</x:f>
        <x:v>164386.05311669497</x:v>
      </x:c>
      <x:c r="G51" s="9" t="n">
        <x:f>'Допущения'!C35*'Допущения'!$B$8*'Допущения'!D35*$B51*(1+'Допущения'!$B$13)^3</x:f>
        <x:v>261633.38138151867</x:v>
      </x:c>
      <x:c r="H51" s="9" t="n">
        <x:f>'Допущения'!C36*'Допущения'!$B$8*'Допущения'!D36*$B51*(1+'Допущения'!$B$13)^3</x:f>
        <x:v>24225.313090881362</x:v>
      </x:c>
      <x:c r="I51" s="9" t="n">
        <x:f>'Допущения'!C37*'Допущения'!$B$8*'Допущения'!D37*$B51*(1+'Допущения'!$B$13)^3</x:f>
        <x:v>0</x:v>
      </x:c>
      <x:c r="J51" s="7" t="n">
        <x:f>SUM(C51:I51)</x:f>
        <x:v>1669643.185813673</x:v>
      </x:c>
      <x:c r="K51" s="9" t="n">
        <x:f>J51/(1+'Допущения'!$B$9)</x:f>
        <x:v>1590136.3674415934</x:v>
      </x:c>
      <x:c r="L51" s="9" t="n">
        <x:f>C51/(1+'Допущения'!$B$9)*'Допущения'!E31+'Допущения'!C31*'Допущения'!$B$8*$B51*'Допущения'!F31*(1+'Допущения'!$B$14)^3+D51/(1+'Допущения'!$B$9)*'Допущения'!E32+'Допущения'!C32*'Допущения'!$B$8*$B51*'Допущения'!F32*(1+'Допущения'!$B$14)^3+E51/(1+'Допущения'!$B$9)*'Допущения'!E33+'Допущения'!C33*'Допущения'!$B$8*$B51*'Допущения'!F33*(1+'Допущения'!$B$14)^3+F51/(1+'Допущения'!$B$9)*'Допущения'!E34+'Допущения'!C34*'Допущения'!$B$8*$B51*'Допущения'!F34*(1+'Допущения'!$B$14)^3+G51/(1+'Допущения'!$B$9)*'Допущения'!E35+'Допущения'!C35*'Допущения'!$B$8*$B51*'Допущения'!F35*(1+'Допущения'!$B$14)^3+H51/(1+'Допущения'!$B$9)*'Допущения'!E36+'Допущения'!C36*'Допущения'!$B$8*$B51*'Допущения'!F36*(1+'Допущения'!$B$14)^3+I51/(1+'Допущения'!$B$9)*'Допущения'!E37+'Допущения'!C37*'Допущения'!$B$8*$B51*'Допущения'!F37*(1+'Допущения'!$B$14)^3</x:f>
        <x:v>185776.83977789493</x:v>
      </x:c>
      <x:c r="M51" s="9" t="n">
        <x:f>J51*'Допущения'!$B$11</x:f>
        <x:v>33392.86371627346</x:v>
      </x:c>
      <x:c r="N51" s="9" t="n">
        <x:f>'Инвестиции'!$C$35*(1+'Допущения'!$B$14)^3</x:f>
        <x:v>640779.6376012501</x:v>
      </x:c>
      <x:c r="O51" s="9" t="n">
        <x:f>K51*'Допущения'!$B$10</x:f>
        <x:v>95408.1820464956</x:v>
      </x:c>
      <x:c r="P51" s="9" t="n">
        <x:f>K51*'Допущения'!$B$12</x:f>
        <x:v>31802.727348831868</x:v>
      </x:c>
      <x:c r="Q51" s="7" t="n">
        <x:f>K51-L51-M51-N51</x:f>
        <x:v>730187.0263461748</x:v>
      </x:c>
      <x:c r="R51" s="7" t="n">
        <x:f>Q51-O51-P51</x:f>
        <x:v>602976.1169508473</x:v>
      </x:c>
      <x:c r="S51" s="7" t="n">
        <x:f>S50+R51</x:f>
        <x:v>13631242.667322425</x:v>
      </x:c>
      <x:c r="T51" s="7" t="n">
        <x:f>IF(S51&gt;=0,A51,999)</x:f>
        <x:v>45</x:v>
      </x:c>
      <x:c r="U51" s="22" t="n">
        <x:f>'Допущения'!C31*'Допущения'!$B$8*B51*'Допущения'!$B$17/'Допущения'!$B$18/'Допущения'!$B$16</x:f>
        <x:v>6.478127889060094</x:v>
      </x:c>
      <x:c r="V51" s="7"/>
      <x:c r="W51" s="7"/>
    </x:row>
    <x:row r="52" ht="23" customHeight="1">
      <x:c r="A52" s="1" t="n">
        <x:v>46</x:v>
      </x:c>
      <x:c r="B52" s="17" t="n">
        <x:f>'Допущения'!C51*'Допущения'!D53</x:f>
        <x:v>1.1694915254237286</x:v>
      </x:c>
      <x:c r="C52" s="9" t="n">
        <x:f>'Допущения'!C31*'Допущения'!$B$8*'Допущения'!D31*$B52*(1+'Допущения'!$B$13)^3</x:f>
        <x:v>1108678.8695163557</x:v>
      </x:c>
      <x:c r="D52" s="9" t="n">
        <x:f>'Допущения'!C32*'Допущения'!$B$8*'Допущения'!D32*$B52*(1+'Допущения'!$B$13)^3</x:f>
        <x:v>47758.47437916609</x:v>
      </x:c>
      <x:c r="E52" s="9" t="n">
        <x:f>'Допущения'!C33*'Допущения'!$B$8*'Допущения'!D33*$B52*(1+'Допущения'!$B$13)^3</x:f>
        <x:v>179094.2789218728</x:v>
      </x:c>
      <x:c r="F52" s="9" t="n">
        <x:f>'Допущения'!C34*'Допущения'!$B$8*'Допущения'!D34*$B52*(1+'Допущения'!$B$13)^3</x:f>
        <x:v>180041.86769923728</x:v>
      </x:c>
      <x:c r="G52" s="9" t="n">
        <x:f>'Допущения'!C35*'Допущения'!$B$8*'Допущения'!D35*$B52*(1+'Допущения'!$B$13)^3</x:f>
        <x:v>286550.8462749966</x:v>
      </x:c>
      <x:c r="H52" s="9" t="n">
        <x:f>'Допущения'!C36*'Допущения'!$B$8*'Допущения'!D36*$B52*(1+'Допущения'!$B$13)^3</x:f>
        <x:v>26532.48576620339</x:v>
      </x:c>
      <x:c r="I52" s="9" t="n">
        <x:f>'Допущения'!C37*'Допущения'!$B$8*'Допущения'!D37*$B52*(1+'Допущения'!$B$13)^3</x:f>
        <x:v>0</x:v>
      </x:c>
      <x:c r="J52" s="7" t="n">
        <x:f>SUM(C52:I52)</x:f>
        <x:v>1828656.8225578319</x:v>
      </x:c>
      <x:c r="K52" s="9" t="n">
        <x:f>J52/(1+'Допущения'!$B$9)</x:f>
        <x:v>1741577.9262455541</x:v>
      </x:c>
      <x:c r="L52" s="9" t="n">
        <x:f>C52/(1+'Допущения'!$B$9)*'Допущения'!E31+'Допущения'!C31*'Допущения'!$B$8*$B52*'Допущения'!F31*(1+'Допущения'!$B$14)^3+D52/(1+'Допущения'!$B$9)*'Допущения'!E32+'Допущения'!C32*'Допущения'!$B$8*$B52*'Допущения'!F32*(1+'Допущения'!$B$14)^3+E52/(1+'Допущения'!$B$9)*'Допущения'!E33+'Допущения'!C33*'Допущения'!$B$8*$B52*'Допущения'!F33*(1+'Допущения'!$B$14)^3+F52/(1+'Допущения'!$B$9)*'Допущения'!E34+'Допущения'!C34*'Допущения'!$B$8*$B52*'Допущения'!F34*(1+'Допущения'!$B$14)^3+G52/(1+'Допущения'!$B$9)*'Допущения'!E35+'Допущения'!C35*'Допущения'!$B$8*$B52*'Допущения'!F35*(1+'Допущения'!$B$14)^3+H52/(1+'Допущения'!$B$9)*'Допущения'!E36+'Допущения'!C36*'Допущения'!$B$8*$B52*'Допущения'!F36*(1+'Допущения'!$B$14)^3+I52/(1+'Допущения'!$B$9)*'Допущения'!E37+'Допущения'!C37*'Допущения'!$B$8*$B52*'Допущения'!F37*(1+'Допущения'!$B$14)^3</x:f>
        <x:v>203469.8721376944</x:v>
      </x:c>
      <x:c r="M52" s="9" t="n">
        <x:f>J52*'Допущения'!$B$11</x:f>
        <x:v>36573.136451156635</x:v>
      </x:c>
      <x:c r="N52" s="9" t="n">
        <x:f>'Инвестиции'!$C$35*(1+'Допущения'!$B$14)^3</x:f>
        <x:v>640779.6376012501</x:v>
      </x:c>
      <x:c r="O52" s="9" t="n">
        <x:f>K52*'Допущения'!$B$10</x:f>
        <x:v>104494.67557473325</x:v>
      </x:c>
      <x:c r="P52" s="9" t="n">
        <x:f>K52*'Допущения'!$B$12</x:f>
        <x:v>34831.55852491108</x:v>
      </x:c>
      <x:c r="Q52" s="7" t="n">
        <x:f>K52-L52-M52-N52</x:f>
        <x:v>860755.2800554531</x:v>
      </x:c>
      <x:c r="R52" s="7" t="n">
        <x:f>Q52-O52-P52</x:f>
        <x:v>721429.0459558087</x:v>
      </x:c>
      <x:c r="S52" s="7" t="n">
        <x:f>S51+R52</x:f>
        <x:v>14352671.713278234</x:v>
      </x:c>
      <x:c r="T52" s="7" t="n">
        <x:f>IF(S52&gt;=0,A52,999)</x:f>
        <x:v>46</x:v>
      </x:c>
      <x:c r="U52" s="22" t="n">
        <x:f>'Допущения'!C31*'Допущения'!$B$8*B52*'Допущения'!$B$17/'Допущения'!$B$18/'Допущения'!$B$16</x:f>
        <x:v>7.095092449922958</x:v>
      </x:c>
      <x:c r="V52" s="7"/>
      <x:c r="W52" s="7"/>
    </x:row>
    <x:row r="53" ht="23" customHeight="1">
      <x:c r="A53" s="1" t="n">
        <x:v>47</x:v>
      </x:c>
      <x:c r="B53" s="17" t="n">
        <x:f>'Допущения'!C52*'Допущения'!D53</x:f>
        <x:v>1.2203389830508473</x:v>
      </x:c>
      <x:c r="C53" s="9" t="n">
        <x:f>'Допущения'!C31*'Допущения'!$B$8*'Допущения'!D31*$B53*(1+'Допущения'!$B$13)^3</x:f>
        <x:v>1156882.2986257626</x:v>
      </x:c>
      <x:c r="D53" s="9" t="n">
        <x:f>'Допущения'!C32*'Допущения'!$B$8*'Допущения'!D32*$B53*(1+'Допущения'!$B$13)^3</x:f>
        <x:v>49834.92978695592</x:v>
      </x:c>
      <x:c r="E53" s="9" t="n">
        <x:f>'Допущения'!C33*'Допущения'!$B$8*'Допущения'!D33*$B53*(1+'Допущения'!$B$13)^3</x:f>
        <x:v>186880.98670108468</x:v>
      </x:c>
      <x:c r="F53" s="9" t="n">
        <x:f>'Допущения'!C34*'Допущения'!$B$8*'Допущения'!D34*$B53*(1+'Допущения'!$B$13)^3</x:f>
        <x:v>187869.77499050848</x:v>
      </x:c>
      <x:c r="G53" s="9" t="n">
        <x:f>'Допущения'!C35*'Допущения'!$B$8*'Допущения'!D35*$B53*(1+'Допущения'!$B$13)^3</x:f>
        <x:v>299009.5787217355</x:v>
      </x:c>
      <x:c r="H53" s="9" t="n">
        <x:f>'Допущения'!C36*'Допущения'!$B$8*'Допущения'!D36*$B53*(1+'Допущения'!$B$13)^3</x:f>
        <x:v>27686.072103864408</x:v>
      </x:c>
      <x:c r="I53" s="9" t="n">
        <x:f>'Допущения'!C37*'Допущения'!$B$8*'Допущения'!D37*$B53*(1+'Допущения'!$B$13)^3</x:f>
        <x:v>0</x:v>
      </x:c>
      <x:c r="J53" s="7" t="n">
        <x:f>SUM(C53:I53)</x:f>
        <x:v>1908163.6409299118</x:v>
      </x:c>
      <x:c r="K53" s="9" t="n">
        <x:f>J53/(1+'Допущения'!$B$9)</x:f>
        <x:v>1817298.705647535</x:v>
      </x:c>
      <x:c r="L53" s="9" t="n">
        <x:f>C53/(1+'Допущения'!$B$9)*'Допущения'!E31+'Допущения'!C31*'Допущения'!$B$8*$B53*'Допущения'!F31*(1+'Допущения'!$B$14)^3+D53/(1+'Допущения'!$B$9)*'Допущения'!E32+'Допущения'!C32*'Допущения'!$B$8*$B53*'Допущения'!F32*(1+'Допущения'!$B$14)^3+E53/(1+'Допущения'!$B$9)*'Допущения'!E33+'Допущения'!C33*'Допущения'!$B$8*$B53*'Допущения'!F33*(1+'Допущения'!$B$14)^3+F53/(1+'Допущения'!$B$9)*'Допущения'!E34+'Допущения'!C34*'Допущения'!$B$8*$B53*'Допущения'!F34*(1+'Допущения'!$B$14)^3+G53/(1+'Допущения'!$B$9)*'Допущения'!E35+'Допущения'!C35*'Допущения'!$B$8*$B53*'Допущения'!F35*(1+'Допущения'!$B$14)^3+H53/(1+'Допущения'!$B$9)*'Допущения'!E36+'Допущения'!C36*'Допущения'!$B$8*$B53*'Допущения'!F36*(1+'Допущения'!$B$14)^3+I53/(1+'Допущения'!$B$9)*'Допущения'!E37+'Допущения'!C37*'Допущения'!$B$8*$B53*'Допущения'!F37*(1+'Допущения'!$B$14)^3</x:f>
        <x:v>212316.38831759413</x:v>
      </x:c>
      <x:c r="M53" s="9" t="n">
        <x:f>J53*'Допущения'!$B$11</x:f>
        <x:v>38163.272818598234</x:v>
      </x:c>
      <x:c r="N53" s="9" t="n">
        <x:f>'Инвестиции'!$C$35*(1+'Допущения'!$B$14)^3</x:f>
        <x:v>640779.6376012501</x:v>
      </x:c>
      <x:c r="O53" s="9" t="n">
        <x:f>K53*'Допущения'!$B$10</x:f>
        <x:v>109037.92233885209</x:v>
      </x:c>
      <x:c r="P53" s="9" t="n">
        <x:f>K53*'Допущения'!$B$12</x:f>
        <x:v>36345.9741129507</x:v>
      </x:c>
      <x:c r="Q53" s="7" t="n">
        <x:f>K53-L53-M53-N53</x:f>
        <x:v>926039.4069100926</x:v>
      </x:c>
      <x:c r="R53" s="7" t="n">
        <x:f>Q53-O53-P53</x:f>
        <x:v>780655.5104582898</x:v>
      </x:c>
      <x:c r="S53" s="7" t="n">
        <x:f>S52+R53</x:f>
        <x:v>15133327.223736525</x:v>
      </x:c>
      <x:c r="T53" s="7" t="n">
        <x:f>IF(S53&gt;=0,A53,999)</x:f>
        <x:v>47</x:v>
      </x:c>
      <x:c r="U53" s="22" t="n">
        <x:f>'Допущения'!C31*'Допущения'!$B$8*B53*'Допущения'!$B$17/'Допущения'!$B$18/'Допущения'!$B$16</x:f>
        <x:v>7.403574730354389</x:v>
      </x:c>
      <x:c r="V53" s="7"/>
      <x:c r="W53" s="7"/>
    </x:row>
    <x:row r="54" ht="23" customHeight="1">
      <x:c r="A54" s="1" t="n">
        <x:v>48</x:v>
      </x:c>
      <x:c r="B54" s="17" t="n">
        <x:f>'Допущения'!C53*'Допущения'!D53</x:f>
        <x:v>1.271186440677966</x:v>
      </x:c>
      <x:c r="C54" s="9" t="n">
        <x:f>'Допущения'!C31*'Допущения'!$B$8*'Допущения'!D31*$B54*(1+'Допущения'!$B$13)^3</x:f>
        <x:v>1205085.7277351695</x:v>
      </x:c>
      <x:c r="D54" s="9" t="n">
        <x:f>'Допущения'!C32*'Допущения'!$B$8*'Допущения'!D32*$B54*(1+'Допущения'!$B$13)^3</x:f>
        <x:v>51911.38519474576</x:v>
      </x:c>
      <x:c r="E54" s="9" t="n">
        <x:f>'Допущения'!C33*'Допущения'!$B$8*'Допущения'!D33*$B54*(1+'Допущения'!$B$13)^3</x:f>
        <x:v>194667.69448029654</x:v>
      </x:c>
      <x:c r="F54" s="9" t="n">
        <x:f>'Допущения'!C34*'Допущения'!$B$8*'Допущения'!D34*$B54*(1+'Допущения'!$B$13)^3</x:f>
        <x:v>195697.68228177968</x:v>
      </x:c>
      <x:c r="G54" s="9" t="n">
        <x:f>'Допущения'!C35*'Допущения'!$B$8*'Допущения'!D35*$B54*(1+'Допущения'!$B$13)^3</x:f>
        <x:v>311468.31116847455</x:v>
      </x:c>
      <x:c r="H54" s="9" t="n">
        <x:f>'Допущения'!C36*'Допущения'!$B$8*'Допущения'!D36*$B54*(1+'Допущения'!$B$13)^3</x:f>
        <x:v>28839.65844152543</x:v>
      </x:c>
      <x:c r="I54" s="9" t="n">
        <x:f>'Допущения'!C37*'Допущения'!$B$8*'Допущения'!D37*$B54*(1+'Допущения'!$B$13)^3</x:f>
        <x:v>0</x:v>
      </x:c>
      <x:c r="J54" s="7" t="n">
        <x:f>SUM(C54:I54)</x:f>
        <x:v>1987670.4593019914</x:v>
      </x:c>
      <x:c r="K54" s="9" t="n">
        <x:f>J54/(1+'Допущения'!$B$9)</x:f>
        <x:v>1893019.4850495155</x:v>
      </x:c>
      <x:c r="L54" s="9" t="n">
        <x:f>C54/(1+'Допущения'!$B$9)*'Допущения'!E31+'Допущения'!C31*'Допущения'!$B$8*$B54*'Допущения'!F31*(1+'Допущения'!$B$14)^3+D54/(1+'Допущения'!$B$9)*'Допущения'!E32+'Допущения'!C32*'Допущения'!$B$8*$B54*'Допущения'!F32*(1+'Допущения'!$B$14)^3+E54/(1+'Допущения'!$B$9)*'Допущения'!E33+'Допущения'!C33*'Допущения'!$B$8*$B54*'Допущения'!F33*(1+'Допущения'!$B$14)^3+F54/(1+'Допущения'!$B$9)*'Допущения'!E34+'Допущения'!C34*'Допущения'!$B$8*$B54*'Допущения'!F34*(1+'Допущения'!$B$14)^3+G54/(1+'Допущения'!$B$9)*'Допущения'!E35+'Допущения'!C35*'Допущения'!$B$8*$B54*'Допущения'!F35*(1+'Допущения'!$B$14)^3+H54/(1+'Допущения'!$B$9)*'Допущения'!E36+'Допущения'!C36*'Допущения'!$B$8*$B54*'Допущения'!F36*(1+'Допущения'!$B$14)^3+I54/(1+'Допущения'!$B$9)*'Допущения'!E37+'Допущения'!C37*'Допущения'!$B$8*$B54*'Допущения'!F37*(1+'Допущения'!$B$14)^3</x:f>
        <x:v>221162.9044974939</x:v>
      </x:c>
      <x:c r="M54" s="9" t="n">
        <x:f>J54*'Допущения'!$B$11</x:f>
        <x:v>39753.409186039826</x:v>
      </x:c>
      <x:c r="N54" s="9" t="n">
        <x:f>'Инвестиции'!$C$35*(1+'Допущения'!$B$14)^3</x:f>
        <x:v>640779.6376012501</x:v>
      </x:c>
      <x:c r="O54" s="9" t="n">
        <x:f>K54*'Допущения'!$B$10</x:f>
        <x:v>113581.16910297093</x:v>
      </x:c>
      <x:c r="P54" s="9" t="n">
        <x:f>K54*'Допущения'!$B$12</x:f>
        <x:v>37860.38970099031</x:v>
      </x:c>
      <x:c r="Q54" s="7" t="n">
        <x:f>K54-L54-M54-N54</x:f>
        <x:v>991323.5337647316</x:v>
      </x:c>
      <x:c r="R54" s="7" t="n">
        <x:f>Q54-O54-P54</x:f>
        <x:v>839881.9749607703</x:v>
      </x:c>
      <x:c r="S54" s="7" t="n">
        <x:f>S53+R54</x:f>
        <x:v>15973209.198697295</x:v>
      </x:c>
      <x:c r="T54" s="7" t="n">
        <x:f>IF(S54&gt;=0,A54,999)</x:f>
        <x:v>48</x:v>
      </x:c>
      <x:c r="U54" s="22" t="n">
        <x:f>'Допущения'!C31*'Допущения'!$B$8*B54*'Допущения'!$B$17/'Допущения'!$B$18/'Допущения'!$B$16</x:f>
        <x:v>7.7120570107858235</x:v>
      </x:c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50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RR-FEC-100 | События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Неделя</x:v>
      </x:c>
      <x:c r="B6" s="25" t="str">
        <x:v>Формат</x:v>
      </x:c>
      <x:c r="C6" s="24" t="str">
        <x:v>Частота</x:v>
      </x:c>
      <x:c r="D6" s="24" t="str">
        <x:v>Расход на событие, ₽</x:v>
      </x:c>
      <x:c r="E6" s="24" t="str">
        <x:v>Промо, ₽</x:v>
      </x:c>
      <x:c r="F6" s="24" t="str">
        <x:v>Учет</x:v>
      </x:c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58" customHeight="1">
      <x:c r="A7" s="30" t="str">
        <x:v>1</x:v>
      </x:c>
      <x:c r="B7" s="28" t="str">
        <x:v>Семейный квест + навык</x:v>
      </x:c>
      <x:c r="C7" s="28" t="str">
        <x:v>Сб 12:00 / Вс 16:00</x:v>
      </x:c>
      <x:c r="D7" s="28" t="n">
        <x:v>1800</x:v>
      </x:c>
      <x:c r="E7" s="28" t="n">
        <x:v>1400</x:v>
      </x:c>
      <x:c r="F7" s="28" t="str">
        <x:v>Включено во вход, не отдельная выручка</x:v>
      </x:c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58" customHeight="1">
      <x:c r="A8" s="30" t="str">
        <x:v>2</x:v>
      </x:c>
      <x:c r="B8" s="28" t="str">
        <x:v>Творческая мастерская</x:v>
      </x:c>
      <x:c r="C8" s="28" t="str">
        <x:v>Ср 17:00 / Сб 14:00</x:v>
      </x:c>
      <x:c r="D8" s="28" t="n">
        <x:v>1200</x:v>
      </x:c>
      <x:c r="E8" s="28" t="n">
        <x:v>1050</x:v>
      </x:c>
      <x:c r="F8" s="28" t="str">
        <x:v>Материалы в прямых расходах мастер-классов</x:v>
      </x:c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58" customHeight="1">
      <x:c r="A9" s="30" t="str">
        <x:v>3</x:v>
      </x:c>
      <x:c r="B9" s="28" t="str">
        <x:v>Световая семейная дискотека</x:v>
      </x:c>
      <x:c r="C9" s="28" t="str">
        <x:v>Пт 18:00</x:v>
      </x:c>
      <x:c r="D9" s="28" t="n">
        <x:v>2000</x:v>
      </x:c>
      <x:c r="E9" s="28" t="n">
        <x:v>1400</x:v>
      </x:c>
      <x:c r="F9" s="28" t="str">
        <x:v>Включено во вход</x:v>
      </x:c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58" customHeight="1">
      <x:c r="A10" s="30" t="str">
        <x:v>4</x:v>
      </x:c>
      <x:c r="B10" s="28" t="str">
        <x:v>Командный турнир / день рождения клуба</x:v>
      </x:c>
      <x:c r="C10" s="28" t="str">
        <x:v>Вс 15:00</x:v>
      </x:c>
      <x:c r="D10" s="28" t="n">
        <x:v>3000</x:v>
      </x:c>
      <x:c r="E10" s="28" t="n">
        <x:v>1750</x:v>
      </x:c>
      <x:c r="F10" s="28" t="str">
        <x:v>Неделя теста, призы без денежных выплат</x:v>
      </x:c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/>
      <x:c r="B11" s="7"/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/>
      <x:c r="B12" s="7"/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/>
      <x:c r="B13" s="7"/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str">
        <x:v>Правило бюджета</x:v>
      </x:c>
      <x:c r="B14" s="7"/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str">
        <x:v>Промо событий входит в текущую рекламу, а не прибавляется к ней повторно.</x:v>
      </x:c>
      <x:c r="B15" s="7"/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 t="str">
        <x:v>Штатный ведущий входит в ФОТ; материалы и приглашенные артисты — в прямые затраты.</x:v>
      </x:c>
      <x:c r="B16" s="7"/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 t="str">
        <x:v>100 м²: только два публичных блока в неделю; частный праздник занимает общую сцену.</x:v>
      </x:c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После четырех недель оставлять форматы с повторными визитами и положительным вкладом.</x:v>
      </x:c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/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/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56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RR-FEC-100 | Аркады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Код</x:v>
      </x:c>
      <x:c r="B6" s="25" t="str">
        <x:v>Автомат</x:v>
      </x:c>
      <x:c r="C6" s="24" t="str">
        <x:v>Кол-во</x:v>
      </x:c>
      <x:c r="D6" s="24" t="str">
        <x:v>Платных игроков</x:v>
      </x:c>
      <x:c r="E6" s="24" t="str">
        <x:v>₽ / чел.</x:v>
      </x:c>
      <x:c r="F6" s="24" t="str">
        <x:v>Игра, мин</x:v>
      </x:c>
      <x:c r="G6" s="24" t="str">
        <x:v>Смена, мин</x:v>
      </x:c>
      <x:c r="H6" s="24" t="str">
        <x:v>Предел игрок-сеансов / мес</x:v>
      </x:c>
      <x:c r="I6" s="24" t="str">
        <x:v>Выручка при максимальной загрузке</x:v>
      </x:c>
      <x:c r="J6" s="24" t="str">
        <x:v>Доступность</x:v>
      </x:c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44" customHeight="1">
      <x:c r="A7" s="1" t="str">
        <x:v>A6</x:v>
      </x:c>
      <x:c r="B7" s="28" t="str">
        <x:v>Сапер с подсветкой</x:v>
      </x:c>
      <x:c r="C7" s="29" t="n">
        <x:f>'Оборудование'!C13</x:f>
        <x:v>1</x:v>
      </x:c>
      <x:c r="D7" s="33" t="n">
        <x:v>1</x:v>
      </x:c>
      <x:c r="E7" s="29" t="n">
        <x:f>'Допущения'!$B$69</x:f>
        <x:v>70</x:v>
      </x:c>
      <x:c r="F7" s="29" t="n">
        <x:f>'Допущения'!$B$65</x:f>
        <x:v>3</x:v>
      </x:c>
      <x:c r="G7" s="29" t="n">
        <x:f>'Допущения'!$B$66</x:f>
        <x:v>1</x:v>
      </x:c>
      <x:c r="H7" s="29" t="n">
        <x:f>C7*D7*J7*60/(F7+G7)*'Допущения'!$B$16*'Допущения'!$B$18</x:f>
        <x:v>2351.25</x:v>
      </x:c>
      <x:c r="I7" s="28" t="n">
        <x:f>H7*E7</x:f>
        <x:v>164587.5</x:v>
      </x:c>
      <x:c r="J7" s="32" t="n">
        <x:f>'Допущения'!$B$70*0.5</x:f>
        <x:v>0.475</x:v>
      </x:c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44" customHeight="1">
      <x:c r="A8" s="1" t="str">
        <x:v>N1</x:v>
      </x:c>
      <x:c r="B8" s="28" t="str">
        <x:v>Детский игровой автомат колотушка «Миссис Хэппи»</x:v>
      </x:c>
      <x:c r="C8" s="29" t="n">
        <x:f>'Оборудование'!C14</x:f>
        <x:v>1</x:v>
      </x:c>
      <x:c r="D8" s="33" t="n">
        <x:v>1</x:v>
      </x:c>
      <x:c r="E8" s="29" t="n">
        <x:f>'Допущения'!$B$69</x:f>
        <x:v>70</x:v>
      </x:c>
      <x:c r="F8" s="29" t="n">
        <x:f>'Допущения'!$B$65</x:f>
        <x:v>3</x:v>
      </x:c>
      <x:c r="G8" s="29" t="n">
        <x:f>'Допущения'!$B$66</x:f>
        <x:v>1</x:v>
      </x:c>
      <x:c r="H8" s="29" t="n">
        <x:f>C8*D8*J8*60/(F8+G8)*'Допущения'!$B$16*'Допущения'!$B$18</x:f>
        <x:v>4702.5</x:v>
      </x:c>
      <x:c r="I8" s="28" t="n">
        <x:f>H8*E8</x:f>
        <x:v>329175</x:v>
      </x:c>
      <x:c r="J8" s="32" t="n">
        <x:f>'Допущения'!$B$70*1</x:f>
        <x:v>0.95</x:v>
      </x:c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44" customHeight="1">
      <x:c r="A9" s="1" t="str">
        <x:v>N2</x:v>
      </x:c>
      <x:c r="B9" s="28" t="str">
        <x:v>Детский автомат с видеоигрой 20 в 1 «Робот»</x:v>
      </x:c>
      <x:c r="C9" s="29" t="n">
        <x:f>'Оборудование'!C15</x:f>
        <x:v>1</x:v>
      </x:c>
      <x:c r="D9" s="33" t="n">
        <x:v>1</x:v>
      </x:c>
      <x:c r="E9" s="29" t="n">
        <x:f>'Допущения'!$B$69</x:f>
        <x:v>70</x:v>
      </x:c>
      <x:c r="F9" s="29" t="n">
        <x:f>'Допущения'!$B$65</x:f>
        <x:v>3</x:v>
      </x:c>
      <x:c r="G9" s="29" t="n">
        <x:f>'Допущения'!$B$66</x:f>
        <x:v>1</x:v>
      </x:c>
      <x:c r="H9" s="29" t="n">
        <x:f>C9*D9*J9*60/(F9+G9)*'Допущения'!$B$16*'Допущения'!$B$18</x:f>
        <x:v>4702.5</x:v>
      </x:c>
      <x:c r="I9" s="28" t="n">
        <x:f>H9*E9</x:f>
        <x:v>329175</x:v>
      </x:c>
      <x:c r="J9" s="32" t="n">
        <x:f>'Допущения'!$B$70*1</x:f>
        <x:v>0.95</x:v>
      </x:c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44" customHeight="1">
      <x:c r="A10" s="1" t="str">
        <x:v>N3</x:v>
      </x:c>
      <x:c r="B10" s="28" t="str">
        <x:v>Детский силомер боксер «Rocky Boxer» Junior</x:v>
      </x:c>
      <x:c r="C10" s="29" t="n">
        <x:f>'Оборудование'!C16</x:f>
        <x:v>1</x:v>
      </x:c>
      <x:c r="D10" s="33" t="n">
        <x:v>1</x:v>
      </x:c>
      <x:c r="E10" s="29" t="n">
        <x:f>'Допущения'!$B$69</x:f>
        <x:v>70</x:v>
      </x:c>
      <x:c r="F10" s="29" t="n">
        <x:f>'Допущения'!$B$65</x:f>
        <x:v>3</x:v>
      </x:c>
      <x:c r="G10" s="29" t="n">
        <x:f>'Допущения'!$B$66</x:f>
        <x:v>1</x:v>
      </x:c>
      <x:c r="H10" s="29" t="n">
        <x:f>C10*D10*J10*60/(F10+G10)*'Допущения'!$B$16*'Допущения'!$B$18</x:f>
        <x:v>4702.5</x:v>
      </x:c>
      <x:c r="I10" s="28" t="n">
        <x:f>H10*E10</x:f>
        <x:v>329175</x:v>
      </x:c>
      <x:c r="J10" s="32" t="n">
        <x:f>'Допущения'!$B$70*1</x:f>
        <x:v>0.95</x:v>
      </x:c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44" customHeight="1">
      <x:c r="A11" s="1"/>
      <x:c r="B11" s="28" t="str">
        <x:v>ИТОГО</x:v>
      </x:c>
      <x:c r="C11" s="28" t="n">
        <x:f>SUM(C7:C10)</x:f>
        <x:v>4</x:v>
      </x:c>
      <x:c r="D11" s="28"/>
      <x:c r="E11" s="28"/>
      <x:c r="F11" s="28"/>
      <x:c r="G11" s="28"/>
      <x:c r="H11" s="28" t="n">
        <x:f>SUM(H7:H10)</x:f>
        <x:v>16458.75</x:v>
      </x:c>
      <x:c r="I11" s="28" t="n">
        <x:f>SUM(I7:I10)</x:f>
        <x:v>1152112.5</x:v>
      </x:c>
      <x:c r="J11" s="28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/>
      <x:c r="B12" s="7"/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/>
      <x:c r="B13" s="7"/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/>
      <x:c r="B14" s="7"/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/>
      <x:c r="B15" s="7"/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/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/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 t="str">
        <x:v>Продано платных игрок-сеансов / месяц</x:v>
      </x:c>
      <x:c r="C24" s="9" t="n">
        <x:f>'Зоны'!C9</x:f>
        <x:v>2002.0499999999997</x:v>
      </x:c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 t="str">
        <x:v>Выручка аркад / месяц, ₽</x:v>
      </x:c>
      <x:c r="C25" s="9" t="n">
        <x:f>'Зоны'!E9</x:f>
        <x:v>140143.49999999997</x:v>
      </x:c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 t="str">
        <x:v>Предельная пропускная способность</x:v>
      </x:c>
      <x:c r="C26" s="7" t="n">
        <x:f>H11</x:f>
        <x:v>16458.75</x:v>
      </x:c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/>
      <x:c r="B27" s="1" t="str">
        <x:v>Загрузка относительно предела</x:v>
      </x:c>
      <x:c r="C27" s="20" t="n">
        <x:f>C24/C26</x:f>
        <x:v>0.12164046479835952</x:v>
      </x:c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/>
      <x:c r="B28" s="1" t="str">
        <x:v>Платных игрок-сеансов на детский вход</x:v>
      </x:c>
      <x:c r="C28" s="17" t="n">
        <x:f>'Допущения'!B67*'Допущения'!B68</x:f>
        <x:v>1.5</x:v>
      </x:c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 t="str">
        <x:v>Цена и длительность заданы владельцем как средняя модель: 70 ₽ на человека за 3 минуты.</x:v>
      </x:c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 t="str">
        <x:v>Два платных игрока в одном сеансе = 140 ₽, а не ещё две продажи поверх этого.</x:v>
      </x:c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 t="str">
        <x:v>Предельная выручка не является прогнозом: продажи задаются спросом и покупкой игровых сеансов.</x:v>
      </x:c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 t="str">
        <x:v>Одна минута на смену игроков заложена дополнительно. В 100 м² Сапёр доступен половину времени.</x:v>
      </x:c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 t="str">
        <x:v>Не все аппараты имеют опубликованную настройку длительности. Подтвердить тариф и режим изготовителем.</x:v>
      </x:c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 t="str">
        <x:v>Призы и расходники: 20% выручки без НДС в прямых затратах аркад; сервис — отдельный fixed.</x:v>
      </x:c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