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655537c72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a9349793543c417b"/>
    <x:sheet xmlns:r="http://schemas.openxmlformats.org/officeDocument/2006/relationships" name="Допущения" sheetId="2" r:id="Rfe919eea3e424c5c"/>
    <x:sheet xmlns:r="http://schemas.openxmlformats.org/officeDocument/2006/relationships" name="Оборудование" sheetId="3" r:id="Rc73567c70091498b"/>
    <x:sheet xmlns:r="http://schemas.openxmlformats.org/officeDocument/2006/relationships" name="Персонал" sheetId="4" r:id="R2faaaf19749948f3"/>
    <x:sheet xmlns:r="http://schemas.openxmlformats.org/officeDocument/2006/relationships" name="Электрика" sheetId="5" r:id="Rea4a9adb752e4198"/>
    <x:sheet xmlns:r="http://schemas.openxmlformats.org/officeDocument/2006/relationships" name="Инвестиции" sheetId="6" r:id="Rada0b95917b84897"/>
    <x:sheet xmlns:r="http://schemas.openxmlformats.org/officeDocument/2006/relationships" name="Зоны" sheetId="7" r:id="R327df5383de34dde"/>
    <x:sheet xmlns:r="http://schemas.openxmlformats.org/officeDocument/2006/relationships" name="Поток 48 мес" sheetId="8" r:id="R4ab5af2f3df0427b"/>
    <x:sheet xmlns:r="http://schemas.openxmlformats.org/officeDocument/2006/relationships" name="События" sheetId="9" r:id="R4bdba677c95d43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&quot;—&quot;"/>
    <x:numFmt numFmtId="201" formatCode="0.0%"/>
    <x:numFmt numFmtId="202" formatCode="0.00"/>
    <x:numFmt numFmtId="203" formatCode="0.000"/>
    <x:numFmt numFmtId="204" formatCode="0.0"/>
    <x:numFmt numFmtId="205" formatCode="0%"/>
  </x:numFmts>
  <x:fonts count="7">
    <x:font>
      <x:sz val="11"/>
      <x:name val="Carlito"/>
    </x:font>
    <x:font>
      <x:sz val="11"/>
      <x:color rgb="FF172333"/>
      <x:name val="Arial"/>
    </x:font>
    <x:font>
      <x:b/>
      <x:sz val="19"/>
      <x:color rgb="FFFFFFFF"/>
      <x:name val="Arial"/>
    </x:font>
    <x:font>
      <x:sz val="11"/>
      <x:color rgb="FF008052"/>
      <x:name val="Arial"/>
    </x:font>
    <x:font>
      <x:b/>
      <x:sz val="11"/>
      <x:color rgb="FF172333"/>
      <x:name val="Arial"/>
    </x:font>
    <x:font>
      <x:sz val="11"/>
      <x:color rgb="FF1F58C7"/>
      <x:name val="Arial"/>
    </x:font>
    <x:font>
      <x:b/>
      <x:sz val="11"/>
      <x:color rgb="FF1F58C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86B5D"/>
      </x:patternFill>
    </x:fill>
    <x:fill>
      <x:patternFill patternType="solid">
        <x:fgColor rgb="FFE8EE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0" fontId="3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1" fillId="0" borderId="0" xfId="0" applyNumberFormat="1" applyFont="1" applyFill="1" applyBorder="1"/>
    <x:xf numFmtId="202" fontId="3" fillId="0" borderId="0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4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0be1281d940ae" /><Relationship Type="http://schemas.openxmlformats.org/officeDocument/2006/relationships/theme" Target="/xl/theme/theme1.xml" Id="R28d68fecc2ac42d0" /><Relationship Type="http://schemas.openxmlformats.org/officeDocument/2006/relationships/sharedStrings" Target="/xl/sharedStrings.xml" Id="Rc4d9e5d1b7644fe6" /><Relationship Type="http://schemas.openxmlformats.org/officeDocument/2006/relationships/worksheet" Target="/xl/worksheets/sheet1.xml" Id="Ra9349793543c417b" /><Relationship Type="http://schemas.openxmlformats.org/officeDocument/2006/relationships/worksheet" Target="/xl/worksheets/sheet2.xml" Id="Rfe919eea3e424c5c" /><Relationship Type="http://schemas.openxmlformats.org/officeDocument/2006/relationships/worksheet" Target="/xl/worksheets/sheet3.xml" Id="Rc73567c70091498b" /><Relationship Type="http://schemas.openxmlformats.org/officeDocument/2006/relationships/worksheet" Target="/xl/worksheets/sheet4.xml" Id="R2faaaf19749948f3" /><Relationship Type="http://schemas.openxmlformats.org/officeDocument/2006/relationships/worksheet" Target="/xl/worksheets/sheet5.xml" Id="Rea4a9adb752e4198" /><Relationship Type="http://schemas.openxmlformats.org/officeDocument/2006/relationships/worksheet" Target="/xl/worksheets/sheet6.xml" Id="Rada0b95917b84897" /><Relationship Type="http://schemas.openxmlformats.org/officeDocument/2006/relationships/worksheet" Target="/xl/worksheets/sheet7.xml" Id="R327df5383de34dde" /><Relationship Type="http://schemas.openxmlformats.org/officeDocument/2006/relationships/worksheet" Target="/xl/worksheets/sheet8.xml" Id="R4ab5af2f3df0427b" /><Relationship Type="http://schemas.openxmlformats.org/officeDocument/2006/relationships/worksheet" Target="/xl/worksheets/sheet9.xml" Id="R4bdba677c95d43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6" hidden="0" customWidth="1"/>
    <x:col min="2" max="2" width="3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Обзор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Площадь, м²</x:v>
      </x:c>
      <x:c r="B6" s="25" t="n">
        <x:v>100</x:v>
      </x:c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Концепция</x:v>
      </x:c>
      <x:c r="B7" s="7" t="str">
        <x:v>Первый клуб</x:v>
      </x:c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Оборудование RR, ₽</x:v>
      </x:c>
      <x:c r="B8" s="9" t="n">
        <x:f>'Оборудование'!E14</x:f>
        <x:v>756160</x:v>
      </x:c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Полный стартовый бюджет, ₽</x:v>
      </x:c>
      <x:c r="B9" s="9" t="n">
        <x:f>'Инвестиции'!C20</x:f>
        <x:v>6222784.76</x:v>
      </x:c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Платежи в стабильный месяц, ₽</x:v>
      </x:c>
      <x:c r="B10" s="9" t="n">
        <x:f>'Зоны'!E14</x:f>
        <x:v>1346905.3999999997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Поток после налогов / обновления, ₽</x:v>
      </x:c>
      <x:c r="B11" s="9" t="n">
        <x:f>'Зоны'!M14</x:f>
        <x:v>470315.511047619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Простая окупаемость стабильного режима, мес</x:v>
      </x:c>
      <x:c r="B12" s="21" t="n">
        <x:f>IF(B11&gt;0,B9/B11,"нет")</x:f>
        <x:v>13.231085545400923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Окупаемость с разгоном, мес (горизонт 48)</x:v>
      </x:c>
      <x:c r="B13" s="9" t="n">
        <x:f>IF(MIN('Поток 48 мес'!T7:T54)=999,"За 48 мес. нет",MIN('Поток 48 мес'!T7:T54))</x:f>
        <x:v>18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Выручка первого года, платежи ₽</x:v>
      </x:c>
      <x:c r="B14" s="9" t="n">
        <x:f>SUM('Поток 48 мес'!J7:J18)</x:f>
        <x:v>13577491.29915254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Поток первого года, ₽</x:v>
      </x:c>
      <x:c r="B15" s="9" t="n">
        <x:f>SUM('Поток 48 мес'!R7:R18)</x:f>
        <x:v>3700996.3224673113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Накопленный поток за 48 месяцев, ₽</x:v>
      </x:c>
      <x:c r="B16" s="9" t="n">
        <x:f>'Поток 48 мес'!S54</x:f>
        <x:v>14623448.340000723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Точка безубыточности, платежи/месяц ₽</x:v>
      </x:c>
      <x:c r="B17" s="9" t="n">
        <x:f>'Инвестиции'!C35/((SUM('Зоны'!I7:I13)-SUM('Зоны'!K7:L13))/B10)</x:f>
        <x:v>721031.590606857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Эквивалент посещений для безубыточности</x:v>
      </x:c>
      <x:c r="B18" s="9" t="n">
        <x:f>B17/(B10/'Допущения'!C31/'Допущения'!B8)</x:f>
        <x:v>727.987919616526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Запрос электрической мощности, кВт</x:v>
      </x:c>
      <x:c r="B19" s="22" t="n">
        <x:f>'Электрика'!E18</x:f>
        <x:v>11.86375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Оплачиваемые FTE</x:v>
      </x:c>
      <x:c r="B20" s="22" t="n">
        <x:f>'Персонал'!C14</x:f>
        <x:v>6.120000000000001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Вместимость детей — рабочая гипотеза</x:v>
      </x:c>
      <x:c r="B21" s="21" t="n">
        <x:v>10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Среднее детей одновременно, выбранный спрос</x:v>
      </x:c>
      <x:c r="B22" s="22" t="n">
        <x:f>'Допущения'!C31*'Допущения'!B8*'Допущения'!B17/'Допущения'!B18/'Допущения'!B16</x:f>
        <x:v>6.181363636363636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Проверка площадей, м²</x:v>
      </x:c>
      <x:c r="B23" s="7" t="n">
        <x:v>100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Проверки модели</x:v>
      </x:c>
      <x:c r="B27" s="1" t="str">
        <x:v>Результат</x:v>
      </x:c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Доли выручки, сумма</x:v>
      </x:c>
      <x:c r="B28" s="23" t="n">
        <x:f>'Зоны'!N14</x:f>
        <x:v>1.0000000000000002</x:v>
      </x:c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Поток зон минус расчетный стабильный поток</x:v>
      </x:c>
      <x:c r="B29" s="4" t="n">
        <x:f>'Зоны'!M14-('Зоны'!I14-'Инвестиции'!C35-'Зоны'!K14-'Зоны'!L14)</x:f>
        <x:v>1.1641532182693481e-10</x:v>
      </x:c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Распределение инвестиций минус общий бюджет</x:v>
      </x:c>
      <x:c r="B30" s="4" t="n">
        <x:f>'Зоны'!O14-'Инвестиции'!C20</x:f>
        <x:v>0</x:v>
      </x:c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str">
        <x:v>Площадь минус задание</x:v>
      </x:c>
      <x:c r="B31" s="1" t="n">
        <x:f>B23-B6</x:f>
        <x:v>0</x:v>
      </x:c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str">
        <x:v>Вместимость: среднее / рабочий максимум</x:v>
      </x:c>
      <x:c r="B32" s="20" t="n">
        <x:f>B22/B21</x:f>
        <x:v>0.6181363636363636</x:v>
      </x:c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str">
        <x:v>Статус и ограничения</x:v>
      </x:c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str">
        <x:v>Концепция для выбора помещения и переговоров. Не рабочий проект и не обещание доходности.</x:v>
      </x:c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str">
        <x:v>На 100 м² банкетная комната и сцена трансформируются; полноценная горячая кухня не помещается.</x:v>
      </x:c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Город 300 тыс. жителей — масштаб рынка, а не доказанный спрос. До аренды проверить конкурентов и платежеспособность.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Источники: оборудование robotail.ru (ссылки на листе Оборудование), официальные документы в техническом PDF.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5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Допущения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 t="str">
        <x:v>Выбор сценария</x:v>
      </x:c>
      <x:c r="B5" s="10" t="n">
        <x:v>4</x:v>
      </x:c>
      <x:c r="C5" s="1"/>
      <x:c r="D5" s="12" t="str">
        <x:v>Исходный</x:v>
      </x:c>
      <x:c r="E5" s="12" t="str">
        <x:v>Спрос −30%</x:v>
      </x:c>
      <x:c r="F5" s="12" t="str">
        <x:v>Спрос +25%</x:v>
      </x:c>
      <x:c r="G5" s="12" t="str">
        <x:v>Целевой 9–18 мес.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Название</x:v>
      </x:c>
      <x:c r="B6" s="25" t="str">
        <x:f>CHOOSE(B5,D6,E6,F6,G6)</x:f>
        <x:v>Целевая окупаемость</x:v>
      </x:c>
      <x:c r="C6" s="24"/>
      <x:c r="D6" s="27" t="str">
        <x:v>Исходный</x:v>
      </x:c>
      <x:c r="E6" s="27" t="str">
        <x:v>Консервативный</x:v>
      </x:c>
      <x:c r="F6" s="27" t="str">
        <x:v>Рост</x:v>
      </x:c>
      <x:c r="G6" s="27" t="str">
        <x:v>Целевая окупаемость</x:v>
      </x:c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Объемы, множитель</x:v>
      </x:c>
      <x:c r="B7" s="15"/>
      <x:c r="C7" s="7"/>
      <x:c r="D7" s="10" t="n">
        <x:v>1</x:v>
      </x:c>
      <x:c r="E7" s="10" t="n">
        <x:v>0.7</x:v>
      </x:c>
      <x:c r="F7" s="10" t="n">
        <x:v>1.25</x:v>
      </x:c>
      <x:c r="G7" s="10" t="n">
        <x:v>1.511</x:v>
      </x:c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Активный множитель</x:v>
      </x:c>
      <x:c r="B8" s="16" t="n">
        <x:f>CHOOSE(B5,D7,E7,F7,G7)</x:f>
        <x:v>1.511</x:v>
      </x:c>
      <x:c r="C8" s="7"/>
      <x:c r="D8" s="10"/>
      <x:c r="E8" s="10"/>
      <x:c r="F8" s="10"/>
      <x:c r="G8" s="10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НДС, расчетная ставка</x:v>
      </x:c>
      <x:c r="B9" s="20" t="n">
        <x:f>CHOOSE(B5,D9,E9,F9,G9)</x:f>
        <x:v>0.05</x:v>
      </x:c>
      <x:c r="C9" s="7"/>
      <x:c r="D9" s="10" t="n">
        <x:v>0.05</x:v>
      </x:c>
      <x:c r="E9" s="10" t="n">
        <x:v>0.05</x:v>
      </x:c>
      <x:c r="F9" s="10" t="n">
        <x:v>0.05</x:v>
      </x:c>
      <x:c r="G9" s="10" t="n">
        <x:v>0.05</x:v>
      </x:c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УСН, резерв от выручки без НДС</x:v>
      </x:c>
      <x:c r="B10" s="14" t="n">
        <x:v>0.06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Эквайринг от платежей</x:v>
      </x:c>
      <x:c r="B11" s="14" t="n">
        <x:v>0.02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Резерв обновления от выручки без НДС</x:v>
      </x:c>
      <x:c r="B12" s="14" t="n">
        <x:v>0.02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Рост цен за год</x:v>
      </x:c>
      <x:c r="B13" s="14" t="n">
        <x:v>0.03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Инфляция затрат за год</x:v>
      </x:c>
      <x:c r="B14" s="14" t="n">
        <x:v>0.05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Взносы работодателя, бюджетный резерв</x:v>
      </x:c>
      <x:c r="B15" s="14" t="n">
        <x:v>0.302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Открыто часов в день</x:v>
      </x:c>
      <x:c r="B16" s="10" t="n">
        <x:v>11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Среднее пребывание ребенка, часов</x:v>
      </x:c>
      <x:c r="B17" s="16" t="n">
        <x:f>IF(B5=4,1.5,2.5)</x:f>
        <x:v>1.5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Дней работы в месяц</x:v>
      </x:c>
      <x:c r="B18" s="15" t="n">
        <x:v>30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Рабочих часов на полную ставку</x:v>
      </x:c>
      <x:c r="B19" s="15" t="n">
        <x:v>168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Запас покрытия отпусков / отсутствий</x:v>
      </x:c>
      <x:c r="B20" s="15" t="n">
        <x:v>0.15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Открытие и закрытие смены, часов/день</x:v>
      </x:c>
      <x:c r="B21" s="15" t="n">
        <x:v>0.5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Покрытие одного поста, FTE</x:v>
      </x:c>
      <x:c r="B22" s="16" t="n">
        <x:f>(B16+B21)*B18/B19*(1+B20)</x:f>
        <x:v>2.3616071428571423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Расчетная одновременная вместимость, детей</x:v>
      </x:c>
      <x:c r="B23" s="10" t="n">
        <x:v>10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Тариф электричества, ₽/кВт·ч</x:v>
      </x:c>
      <x:c r="B24" s="10" t="n">
        <x:v>9</x:v>
      </x:c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Как читать модель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Синие числа — ввод; зеленые формулы — связи листов; черные — расчет.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Продажи праздников не включают входные билеты и еду: они учтены отдельно.</x:v>
      </x:c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№</x:v>
      </x:c>
      <x:c r="B30" s="1" t="str">
        <x:v>Зона</x:v>
      </x:c>
      <x:c r="C30" s="7" t="str">
        <x:v>Объем / месяц</x:v>
      </x:c>
      <x:c r="D30" s="7" t="str">
        <x:v>Цена, ₽</x:v>
      </x:c>
      <x:c r="E30" s="7" t="str">
        <x:v>Прямые, доля</x:v>
      </x:c>
      <x:c r="F30" s="7" t="str">
        <x:v>Себест./ед., ₽</x:v>
      </x:c>
      <x:c r="G30" s="7" t="str">
        <x:v>Вес общих затрат</x:v>
      </x:c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1</x:v>
      </x:c>
      <x:c r="B31" s="1" t="str">
        <x:v>Входные билеты и свободная игра</x:v>
      </x:c>
      <x:c r="C31" s="10" t="n">
        <x:v>900</x:v>
      </x:c>
      <x:c r="D31" s="10" t="n">
        <x:v>650</x:v>
      </x:c>
      <x:c r="E31" s="14" t="n">
        <x:v>0.02</x:v>
      </x:c>
      <x:c r="F31" s="10" t="n">
        <x:v>0</x:v>
      </x:c>
      <x:c r="G31" s="14" t="n">
        <x:v>0.3645833333333333</x:v>
      </x:c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2</x:v>
      </x:c>
      <x:c r="B32" s="1" t="str">
        <x:v>Технологические аттракционы</x:v>
      </x:c>
      <x:c r="C32" s="10" t="n">
        <x:v>180</x:v>
      </x:c>
      <x:c r="D32" s="10" t="n">
        <x:v>140</x:v>
      </x:c>
      <x:c r="E32" s="14" t="n">
        <x:v>0.05</x:v>
      </x:c>
      <x:c r="F32" s="10" t="n">
        <x:v>0</x:v>
      </x:c>
      <x:c r="G32" s="14" t="n">
        <x:v>0.15625</x:v>
      </x:c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 t="n">
        <x:v>3</x:v>
      </x:c>
      <x:c r="B33" s="1" t="str">
        <x:v>Аркады и семейные игры</x:v>
      </x:c>
      <x:c r="C33" s="10" t="n">
        <x:v>210</x:v>
      </x:c>
      <x:c r="D33" s="10" t="n">
        <x:v>100</x:v>
      </x:c>
      <x:c r="E33" s="14" t="n">
        <x:v>0.2</x:v>
      </x:c>
      <x:c r="F33" s="10" t="n">
        <x:v>0</x:v>
      </x:c>
      <x:c r="G33" s="14" t="n">
        <x:v>0.125</x:v>
      </x:c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 t="n">
        <x:v>4</x:v>
      </x:c>
      <x:c r="B34" s="1" t="str">
        <x:v>Банкетные комнаты и ведущий</x:v>
      </x:c>
      <x:c r="C34" s="10" t="n">
        <x:v>10</x:v>
      </x:c>
      <x:c r="D34" s="10" t="n">
        <x:v>9500</x:v>
      </x:c>
      <x:c r="E34" s="14" t="n">
        <x:v>0.25</x:v>
      </x:c>
      <x:c r="F34" s="10" t="n">
        <x:v>0</x:v>
      </x:c>
      <x:c r="G34" s="14" t="n">
        <x:v>0.125</x:v>
      </x:c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n">
        <x:v>5</x:v>
      </x:c>
      <x:c r="B35" s="1" t="str">
        <x:v>Кафе и ожидание родителей</x:v>
      </x:c>
      <x:c r="C35" s="10" t="n">
        <x:v>360</x:v>
      </x:c>
      <x:c r="D35" s="10" t="n">
        <x:v>420</x:v>
      </x:c>
      <x:c r="E35" s="14" t="n">
        <x:v>0.35</x:v>
      </x:c>
      <x:c r="F35" s="10" t="n">
        <x:v>0</x:v>
      </x:c>
      <x:c r="G35" s="14" t="n">
        <x:v>0.14583333333333334</x:v>
      </x:c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n">
        <x:v>6</x:v>
      </x:c>
      <x:c r="B36" s="1" t="str">
        <x:v>Платные мастер-классы</x:v>
      </x:c>
      <x:c r="C36" s="10" t="n">
        <x:v>40</x:v>
      </x:c>
      <x:c r="D36" s="10" t="n">
        <x:v>350</x:v>
      </x:c>
      <x:c r="E36" s="14" t="n">
        <x:v>0.3</x:v>
      </x:c>
      <x:c r="F36" s="10" t="n">
        <x:v>0</x:v>
      </x:c>
      <x:c r="G36" s="14" t="n">
        <x:v>0.08333333333333334</x:v>
      </x:c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n">
        <x:v>7</x:v>
      </x:c>
      <x:c r="B37" s="1" t="str">
        <x:v>Нейрофото</x:v>
      </x:c>
      <x:c r="C37" s="10" t="n">
        <x:v>0</x:v>
      </x:c>
      <x:c r="D37" s="10" t="n">
        <x:v>200</x:v>
      </x:c>
      <x:c r="E37" s="14" t="n">
        <x:v>0</x:v>
      </x:c>
      <x:c r="F37" s="10" t="n">
        <x:v>50</x:v>
      </x:c>
      <x:c r="G37" s="14" t="n">
        <x:v>0</x:v>
      </x:c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Месяц</x:v>
      </x:c>
      <x:c r="B41" s="1" t="str">
        <x:v>Сезонность, индекс</x:v>
      </x:c>
      <x:c r="C41" s="7" t="str">
        <x:v>Нормированный индекс</x:v>
      </x:c>
      <x:c r="D41" s="7" t="str">
        <x:v>Разгон посещаемости</x:v>
      </x:c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 t="n">
        <x:v>1</x:v>
      </x:c>
      <x:c r="B42" s="1" t="n">
        <x:v>1.1</x:v>
      </x:c>
      <x:c r="C42" s="16" t="n">
        <x:f>B42/AVERAGE($B$42:$B$53)</x:f>
        <x:v>1.1186440677966103</x:v>
      </x:c>
      <x:c r="D42" s="16" t="n">
        <x:v>0.45</x:v>
      </x:c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 t="n">
        <x:v>2</x:v>
      </x:c>
      <x:c r="B43" s="1" t="n">
        <x:v>1.05</x:v>
      </x:c>
      <x:c r="C43" s="16" t="n">
        <x:f>B43/AVERAGE($B$42:$B$53)</x:f>
        <x:v>1.0677966101694916</x:v>
      </x:c>
      <x:c r="D43" s="16" t="n">
        <x:v>0.55</x:v>
      </x:c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 t="n">
        <x:v>3</x:v>
      </x:c>
      <x:c r="B44" s="1" t="n">
        <x:v>1</x:v>
      </x:c>
      <x:c r="C44" s="16" t="n">
        <x:f>B44/AVERAGE($B$42:$B$53)</x:f>
        <x:v>1.0169491525423728</x:v>
      </x:c>
      <x:c r="D44" s="16" t="n">
        <x:v>0.65</x:v>
      </x:c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 t="n">
        <x:v>4</x:v>
      </x:c>
      <x:c r="B45" s="1" t="n">
        <x:v>0.9</x:v>
      </x:c>
      <x:c r="C45" s="16" t="n">
        <x:f>B45/AVERAGE($B$42:$B$53)</x:f>
        <x:v>0.9152542372881356</x:v>
      </x:c>
      <x:c r="D45" s="16" t="n">
        <x:v>0.75</x:v>
      </x:c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 t="n">
        <x:v>5</x:v>
      </x:c>
      <x:c r="B46" s="1" t="n">
        <x:v>0.85</x:v>
      </x:c>
      <x:c r="C46" s="16" t="n">
        <x:f>B46/AVERAGE($B$42:$B$53)</x:f>
        <x:v>0.8644067796610169</x:v>
      </x:c>
      <x:c r="D46" s="16" t="n">
        <x:v>0.85</x:v>
      </x:c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 t="n">
        <x:v>6</x:v>
      </x:c>
      <x:c r="B47" s="1" t="n">
        <x:v>0.7</x:v>
      </x:c>
      <x:c r="C47" s="16" t="n">
        <x:f>B47/AVERAGE($B$42:$B$53)</x:f>
        <x:v>0.7118644067796609</x:v>
      </x:c>
      <x:c r="D47" s="16" t="n">
        <x:v>0.9</x:v>
      </x:c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 t="n">
        <x:v>7</x:v>
      </x:c>
      <x:c r="B48" s="1" t="n">
        <x:v>0.75</x:v>
      </x:c>
      <x:c r="C48" s="16" t="n">
        <x:f>B48/AVERAGE($B$42:$B$53)</x:f>
        <x:v>0.7627118644067796</x:v>
      </x:c>
      <x:c r="D48" s="16" t="n">
        <x:v>0.95</x:v>
      </x:c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 t="n">
        <x:v>8</x:v>
      </x:c>
      <x:c r="B49" s="1" t="n">
        <x:v>0.8</x:v>
      </x:c>
      <x:c r="C49" s="16" t="n">
        <x:f>B49/AVERAGE($B$42:$B$53)</x:f>
        <x:v>0.8135593220338982</x:v>
      </x:c>
      <x:c r="D49" s="16" t="n">
        <x:v>1</x:v>
      </x:c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 t="n">
        <x:v>9</x:v>
      </x:c>
      <x:c r="B50" s="1" t="n">
        <x:v>1.05</x:v>
      </x:c>
      <x:c r="C50" s="16" t="n">
        <x:f>B50/AVERAGE($B$42:$B$53)</x:f>
        <x:v>1.0677966101694916</x:v>
      </x:c>
      <x:c r="D50" s="16" t="n">
        <x:v>1</x:v>
      </x:c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 t="n">
        <x:v>10</x:v>
      </x:c>
      <x:c r="B51" s="1" t="n">
        <x:v>1.15</x:v>
      </x:c>
      <x:c r="C51" s="16" t="n">
        <x:f>B51/AVERAGE($B$42:$B$53)</x:f>
        <x:v>1.1694915254237286</x:v>
      </x:c>
      <x:c r="D51" s="16" t="n">
        <x:v>1</x:v>
      </x:c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 t="n">
        <x:v>11</x:v>
      </x:c>
      <x:c r="B52" s="1" t="n">
        <x:v>1.2</x:v>
      </x:c>
      <x:c r="C52" s="16" t="n">
        <x:f>B52/AVERAGE($B$42:$B$53)</x:f>
        <x:v>1.2203389830508473</x:v>
      </x:c>
      <x:c r="D52" s="16" t="n">
        <x:v>1</x:v>
      </x:c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 t="n">
        <x:v>12</x:v>
      </x:c>
      <x:c r="B53" s="1" t="n">
        <x:v>1.25</x:v>
      </x:c>
      <x:c r="C53" s="16" t="n">
        <x:f>B53/AVERAGE($B$42:$B$53)</x:f>
        <x:v>1.271186440677966</x:v>
      </x:c>
      <x:c r="D53" s="16" t="n">
        <x:v>1</x:v>
      </x:c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 t="str">
        <x:v>Ограничения</x:v>
      </x:c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 t="str">
        <x:v>М1 условно январь. Для другой даты открытия перенесите сезонность, сохранив средний индекс 1.</x:v>
      </x:c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 t="str">
        <x:v>Налоги — консервативный резерв для сравнения; налоговый режим проверяется для юридического лица и года запуска.</x:v>
      </x:c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 t="str">
        <x:v>Зарплаты — бюджетные ориентиры для города 300 тыс. жителей, не исследование рынка вакансий.</x:v>
      </x:c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 t="str">
        <x:v>Все продажи, аренда, ставки и сроки нуждаются в локальной проверке до инвестирования.</x:v>
      </x:c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 t="str">
        <x:v>Сценарий 4 решает обратную задачу окупаемости; требуемый спрос не подтвержден рынком.</x:v>
      </x:c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 t="str">
        <x:v>100 м²: целевой сценарий требует сеансов в среднем 90 минут и бронирования по времени.</x:v>
      </x:c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dataValidations count="1">
    <x:dataValidation type="list" sqref="B5">
      <x:formula1>"1,2,3,4"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  <x:col min="9" max="9" width="48" hidden="0" customWidth="1"/>
    <x:col min="10" max="10" width="4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Оборудование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Код</x:v>
      </x:c>
      <x:c r="B6" s="25" t="str">
        <x:v>Оборудование RR</x:v>
      </x:c>
      <x:c r="C6" s="24" t="str">
        <x:v>Кол-во</x:v>
      </x:c>
      <x:c r="D6" s="24" t="str">
        <x:v>Цена, ₽</x:v>
      </x:c>
      <x:c r="E6" s="24" t="str">
        <x:v>Сумма, ₽</x:v>
      </x:c>
      <x:c r="F6" s="24" t="str">
        <x:v>кВт/ед.</x:v>
      </x:c>
      <x:c r="G6" s="24" t="str">
        <x:v>Всего кВт</x:v>
      </x:c>
      <x:c r="H6" s="24" t="str">
        <x:v>Источник / статус мощности</x:v>
      </x:c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str">
        <x:v>M1</x:v>
      </x:c>
      <x:c r="B7" s="28" t="str">
        <x:v>Лабиринт «Малыш-1»</x:v>
      </x:c>
      <x:c r="C7" s="10" t="n">
        <x:v>1</x:v>
      </x:c>
      <x:c r="D7" s="10" t="n">
        <x:v>319880</x:v>
      </x:c>
      <x:c r="E7" s="7" t="n">
        <x:f>C7*D7</x:f>
        <x:v>319880</x:v>
      </x:c>
      <x:c r="F7" s="19" t="n">
        <x:v>0</x:v>
      </x:c>
      <x:c r="G7" s="18" t="n">
        <x:f>C7*F7</x:f>
        <x:v>0</x:v>
      </x:c>
      <x:c r="H7" s="28" t="str">
        <x:v>Пассивный</x:v>
      </x:c>
      <x:c r="I7" s="28" t="str">
        <x:v>https://robotail.ru/product/detskiy-igrovoy-labirint-malysh-1-56m-23523525m</x:v>
      </x:c>
      <x:c r="J7" s="28" t="str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str">
        <x:v>W1</x:v>
      </x:c>
      <x:c r="B8" s="28" t="str">
        <x:v>Проектор настенный NEW</x:v>
      </x:c>
      <x:c r="C8" s="10" t="n">
        <x:v>1</x:v>
      </x:c>
      <x:c r="D8" s="10" t="n">
        <x:v>189000</x:v>
      </x:c>
      <x:c r="E8" s="7" t="n">
        <x:f>C8*D8</x:f>
        <x:v>189000</x:v>
      </x:c>
      <x:c r="F8" s="19" t="n">
        <x:v>0.8</x:v>
      </x:c>
      <x:c r="G8" s="18" t="n">
        <x:f>C8*F8</x:f>
        <x:v>0.8</x:v>
      </x:c>
      <x:c r="H8" s="28" t="str">
        <x:v>Расчетный резерв</x:v>
      </x:c>
      <x:c r="I8" s="28" t="str">
        <x:v>https://robotail.ru/product/interaktivnyy-proektor-nastennyy-new-maksimalnaya-komplektatsiya</x:v>
      </x:c>
      <x:c r="J8" s="28" t="str">
        <x:v>Габарит на плане — игровая зона, не корпус. Монтаж по оптике проектора.</x:v>
      </x:c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str">
        <x:v>A6</x:v>
      </x:c>
      <x:c r="B9" s="28" t="str">
        <x:v>Сапер с подсветкой</x:v>
      </x:c>
      <x:c r="C9" s="10" t="n">
        <x:v>1</x:v>
      </x:c>
      <x:c r="D9" s="10" t="n">
        <x:v>53800</x:v>
      </x:c>
      <x:c r="E9" s="7" t="n">
        <x:f>C9*D9</x:f>
        <x:v>53800</x:v>
      </x:c>
      <x:c r="F9" s="19" t="n">
        <x:v>0.01</x:v>
      </x:c>
      <x:c r="G9" s="18" t="n">
        <x:f>C9*F9</x:f>
        <x:v>0.01</x:v>
      </x:c>
      <x:c r="H9" s="28" t="str">
        <x:v>10 Вт по сайту</x:v>
      </x:c>
      <x:c r="I9" s="28" t="str">
        <x:v>https://robotail.ru/product/attraktsion-zummer-s-podsvetkoy</x:v>
      </x:c>
      <x:c r="J9" s="28" t="str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str">
        <x:v>C1</x:v>
      </x:c>
      <x:c r="B10" s="28" t="str">
        <x:v>Шахматный робот Chess</x:v>
      </x:c>
      <x:c r="C10" s="10" t="n">
        <x:v>1</x:v>
      </x:c>
      <x:c r="D10" s="10" t="n">
        <x:v>149000</x:v>
      </x:c>
      <x:c r="E10" s="7" t="n">
        <x:f>C10*D10</x:f>
        <x:v>149000</x:v>
      </x:c>
      <x:c r="F10" s="19" t="n">
        <x:v>0.05</x:v>
      </x:c>
      <x:c r="G10" s="18" t="n">
        <x:f>C10*F10</x:f>
        <x:v>0.05</x:v>
      </x:c>
      <x:c r="H10" s="28" t="str">
        <x:v>Расчетный резерв</x:v>
      </x:c>
      <x:c r="I10" s="28" t="str">
        <x:v>https://robotail.ru/product/shahmatnyy-robot-chess</x:v>
      </x:c>
      <x:c r="J10" s="28" t="str">
        <x:v>На столе в кафе, отдельная выручка не начисляется.</x:v>
      </x:c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str">
        <x:v>B1</x:v>
      </x:c>
      <x:c r="B11" s="28" t="str">
        <x:v>Сухой бассейн «Лягушонок» 1,2 м</x:v>
      </x:c>
      <x:c r="C11" s="10" t="n">
        <x:v>1</x:v>
      </x:c>
      <x:c r="D11" s="10" t="n">
        <x:v>20580</x:v>
      </x:c>
      <x:c r="E11" s="7" t="n">
        <x:f>C11*D11</x:f>
        <x:v>20580</x:v>
      </x:c>
      <x:c r="F11" s="19" t="n">
        <x:v>0</x:v>
      </x:c>
      <x:c r="G11" s="18" t="n">
        <x:f>C11*F11</x:f>
        <x:v>0</x:v>
      </x:c>
      <x:c r="H11" s="28" t="str">
        <x:v>Пассивный</x:v>
      </x:c>
      <x:c r="I11" s="28" t="str">
        <x:v>https://robotail.ru/product/basseyn-kvadratnyy-lyagushonok-razbornyy-120h120h40-sm</x:v>
      </x:c>
      <x:c r="J11" s="28" t="str">
        <x:v>Выбран первый вариант 120×120×40 см.</x:v>
      </x:c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str">
        <x:v>S1</x:v>
      </x:c>
      <x:c r="B12" s="28" t="str">
        <x:v>Мягкий конструктор «Форт», 17 элементов</x:v>
      </x:c>
      <x:c r="C12" s="10" t="n">
        <x:v>1</x:v>
      </x:c>
      <x:c r="D12" s="10" t="n">
        <x:v>17900</x:v>
      </x:c>
      <x:c r="E12" s="7" t="n">
        <x:f>C12*D12</x:f>
        <x:v>17900</x:v>
      </x:c>
      <x:c r="F12" s="19" t="n">
        <x:v>0</x:v>
      </x:c>
      <x:c r="G12" s="18" t="n">
        <x:f>C12*F12</x:f>
        <x:v>0</x:v>
      </x:c>
      <x:c r="H12" s="28" t="str">
        <x:v>Пассивный</x:v>
      </x:c>
      <x:c r="I12" s="28" t="str">
        <x:v>https://robotail.ru/product/detskie-moduli-konstruktor-fort-17-el</x:v>
      </x:c>
      <x:c r="J12" s="28" t="str">
        <x:v>2×2 м — зона игры, не габарит упаковки; наборы хранятся в стеллаже и выдаются поочередно.</x:v>
      </x:c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str">
        <x:v>B3</x:v>
      </x:c>
      <x:c r="B13" s="28" t="str">
        <x:v>Шарики для бассейна 70 мм, дополнительный запас</x:v>
      </x:c>
      <x:c r="C13" s="10" t="n">
        <x:v>1000</x:v>
      </x:c>
      <x:c r="D13" s="10" t="n">
        <x:v>6</x:v>
      </x:c>
      <x:c r="E13" s="7" t="n">
        <x:f>C13*D13</x:f>
        <x:v>6000</x:v>
      </x:c>
      <x:c r="F13" s="19" t="n">
        <x:v>0</x:v>
      </x:c>
      <x:c r="G13" s="18" t="n">
        <x:f>C13*F13</x:f>
        <x:v>0</x:v>
      </x:c>
      <x:c r="H13" s="28" t="str">
        <x:v>Пассивный</x:v>
      </x:c>
      <x:c r="I13" s="28" t="str">
        <x:v>https://robotail.ru/product/shariki-dlya-suhogo-basseyna-70-mm-2</x:v>
      </x:c>
      <x:c r="J13" s="28" t="str">
        <x:v>Количество предварительное. Исключить дубли с шарами из комплектации лабиринта по итоговой ведомости.</x:v>
      </x:c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/>
      <x:c r="B14" s="28" t="str">
        <x:v>ИТОГО</x:v>
      </x:c>
      <x:c r="C14" s="7"/>
      <x:c r="D14" s="7"/>
      <x:c r="E14" s="7" t="n">
        <x:f>SUM(E7:E13)</x:f>
        <x:v>756160</x:v>
      </x:c>
      <x:c r="F14" s="18"/>
      <x:c r="G14" s="18" t="n">
        <x:f>SUM(G7:G13)</x:f>
        <x:v>0.8600000000000001</x:v>
      </x:c>
      <x:c r="H14" s="28"/>
      <x:c r="I14" s="28"/>
      <x:c r="J14" s="28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Персонал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Должность</x:v>
      </x:c>
      <x:c r="C6" s="24" t="str">
        <x:v>FTE, ставок</x:v>
      </x:c>
      <x:c r="D6" s="24" t="str">
        <x:v>Оклад gross, ₽</x:v>
      </x:c>
      <x:c r="E6" s="24" t="str">
        <x:v>ФОТ gross, ₽</x:v>
      </x:c>
      <x:c r="F6" s="24" t="str">
        <x:v>Постов одновременно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Администратор / касса</x:v>
      </x:c>
      <x:c r="C7" s="17" t="n">
        <x:f>F7*ROUND('Допущения'!$B$22,2)</x:f>
        <x:v>2.36</x:v>
      </x:c>
      <x:c r="D7" s="10" t="n">
        <x:v>45000</x:v>
      </x:c>
      <x:c r="E7" s="7" t="n">
        <x:f>C7*D7</x:f>
        <x:v>106200</x:v>
      </x:c>
      <x:c r="F7" s="7" t="n">
        <x:v>1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Оператор игровых зон</x:v>
      </x:c>
      <x:c r="C8" s="17" t="n">
        <x:f>F8*ROUND('Допущения'!$B$22,2)</x:f>
        <x:v>2.36</x:v>
      </x:c>
      <x:c r="D8" s="10" t="n">
        <x:v>45000</x:v>
      </x:c>
      <x:c r="E8" s="7" t="n">
        <x:f>C8*D8</x:f>
        <x:v>106200</x:v>
      </x:c>
      <x:c r="F8" s="7" t="n">
        <x:v>1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Управляющий / старший смены</x:v>
      </x:c>
      <x:c r="C9" s="15" t="n">
        <x:v>0.4</x:v>
      </x:c>
      <x:c r="D9" s="10" t="n">
        <x:v>75000</x:v>
      </x:c>
      <x:c r="E9" s="7" t="n">
        <x:f>C9*D9</x:f>
        <x:v>30000</x:v>
      </x:c>
      <x:c r="F9" s="7" t="n">
        <x:v>0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Уборщик</x:v>
      </x:c>
      <x:c r="C10" s="15" t="n">
        <x:v>0.4</x:v>
      </x:c>
      <x:c r="D10" s="10" t="n">
        <x:v>38000</x:v>
      </x:c>
      <x:c r="E10" s="7" t="n">
        <x:f>C10*D10</x:f>
        <x:v>15200</x:v>
      </x:c>
      <x:c r="F10" s="7" t="n">
        <x:v>0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Техник</x:v>
      </x:c>
      <x:c r="C11" s="15" t="n">
        <x:v>0.2</x:v>
      </x:c>
      <x:c r="D11" s="10" t="n">
        <x:v>70000</x:v>
      </x:c>
      <x:c r="E11" s="7" t="n">
        <x:f>C11*D11</x:f>
        <x:v>14000</x:v>
      </x:c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Аниматор / ведущий</x:v>
      </x:c>
      <x:c r="C12" s="15" t="n">
        <x:v>0.25</x:v>
      </x:c>
      <x:c r="D12" s="10" t="n">
        <x:v>50000</x:v>
      </x:c>
      <x:c r="E12" s="7" t="n">
        <x:f>C12*D12</x:f>
        <x:v>12500</x:v>
      </x:c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Маркетолог, частичная занятость</x:v>
      </x:c>
      <x:c r="C13" s="15" t="n">
        <x:v>0.15</x:v>
      </x:c>
      <x:c r="D13" s="10" t="n">
        <x:v>60000</x:v>
      </x:c>
      <x:c r="E13" s="7" t="n">
        <x:f>C13*D13</x:f>
        <x:v>9000</x:v>
      </x:c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 t="str">
        <x:v>ИТОГО ставок / ФОТ</x:v>
      </x:c>
      <x:c r="C14" s="16" t="n">
        <x:f>SUM(C7:C13)</x:f>
        <x:v>6.120000000000001</x:v>
      </x:c>
      <x:c r="D14" s="7"/>
      <x:c r="E14" s="7" t="n">
        <x:f>SUM(E7:E13)</x:f>
        <x:v>293100</x:v>
      </x:c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С резервом взносов</x:v>
      </x:c>
      <x:c r="C15" s="7"/>
      <x:c r="D15" s="7"/>
      <x:c r="E15" s="9" t="n">
        <x:f>E14*(1+'Допущения'!B15)</x:f>
        <x:v>381616.2</x:v>
      </x:c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План покрытия</x:v>
      </x:c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FTE — оплачиваемая доля полной ставки, не число людей в одной смене.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Смены 10:00–21:00 плюс открытие/закрытие. В штатном расписании нужны совместители и подмена.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Ночной ремонт, отпуск, больничный и перерывы не перекладываются на дежурного у детей.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Для 100 м²: кассир совмещает кафе доготовки, ведущий праздника приглашается дополнительно.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Электрика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Группа</x:v>
      </x:c>
      <x:c r="C6" s="24" t="str">
        <x:v>Установлено кВт</x:v>
      </x:c>
      <x:c r="D6" s="24" t="str">
        <x:v>Коэф. спроса</x:v>
      </x:c>
      <x:c r="E6" s="24" t="str">
        <x:v>Расчет кВт</x:v>
      </x:c>
      <x:c r="F6" s="24" t="str">
        <x:v>Статус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Оборудование RR</x:v>
      </x:c>
      <x:c r="C7" s="17" t="n">
        <x:f>'Оборудование'!G14</x:f>
        <x:v>0.8600000000000001</x:v>
      </x:c>
      <x:c r="D7" s="16" t="n">
        <x:v>0.85</x:v>
      </x:c>
      <x:c r="E7" s="16" t="n">
        <x:f>C7*D7</x:f>
        <x:v>0.7310000000000001</x:v>
      </x:c>
      <x:c r="F7" s="7" t="str">
        <x:v>Часть значений — проектные резервы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Освещение, 8 Вт/м²</x:v>
      </x:c>
      <x:c r="C8" s="16" t="n">
        <x:v>0.8</x:v>
      </x:c>
      <x:c r="D8" s="16" t="n">
        <x:v>0.95</x:v>
      </x:c>
      <x:c r="E8" s="16" t="n">
        <x:f>C8*D8</x:f>
        <x:v>0.76</x:v>
      </x:c>
      <x:c r="F8" s="7" t="str">
        <x:v>Расчетный резерв, не ТУ помещения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Вентиляция и охлаждение: резерв 25 Вт/м²</x:v>
      </x:c>
      <x:c r="C9" s="16" t="n">
        <x:v>2.5</x:v>
      </x:c>
      <x:c r="D9" s="16" t="n">
        <x:v>0.8</x:v>
      </x:c>
      <x:c r="E9" s="16" t="n">
        <x:f>C9*D9</x:f>
        <x:v>2</x:v>
      </x:c>
      <x:c r="F9" s="7" t="str">
        <x:v>Расчетный резерв, не ТУ помещения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Кухня: резерв</x:v>
      </x:c>
      <x:c r="C10" s="16" t="n">
        <x:v>6</x:v>
      </x:c>
      <x:c r="D10" s="16" t="n">
        <x:v>0.65</x:v>
      </x:c>
      <x:c r="E10" s="16" t="n">
        <x:f>C10*D10</x:f>
        <x:v>3.9000000000000004</x:v>
      </x:c>
      <x:c r="F10" s="7" t="str">
        <x:v>Расчетный резерв, не ТУ помещения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Рабочие розетки родителей</x:v>
      </x:c>
      <x:c r="C11" s="16" t="n">
        <x:v>0.8</x:v>
      </x:c>
      <x:c r="D11" s="16" t="n">
        <x:v>0.5</x:v>
      </x:c>
      <x:c r="E11" s="16" t="n">
        <x:f>C11*D11</x:f>
        <x:v>0.4</x:v>
      </x:c>
      <x:c r="F11" s="7" t="str">
        <x:v>Расчетный резерв, не ТУ помещения</x:v>
      </x:c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Касса, сеть, хозяйственные розетки</x:v>
      </x:c>
      <x:c r="C12" s="16" t="n">
        <x:v>2</x:v>
      </x:c>
      <x:c r="D12" s="16" t="n">
        <x:v>0.6</x:v>
      </x:c>
      <x:c r="E12" s="16" t="n">
        <x:f>C12*D12</x:f>
        <x:v>1.2</x:v>
      </x:c>
      <x:c r="F12" s="7" t="str">
        <x:v>Расчетный резерв, не ТУ помещения</x:v>
      </x:c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Сцена и звук, резерв</x:v>
      </x:c>
      <x:c r="C13" s="16" t="n">
        <x:v>1</x:v>
      </x:c>
      <x:c r="D13" s="16" t="n">
        <x:v>0.5</x:v>
      </x:c>
      <x:c r="E13" s="16" t="n">
        <x:f>C13*D13</x:f>
        <x:v>0.5</x:v>
      </x:c>
      <x:c r="F13" s="7" t="str">
        <x:v>Расчетный резерв, не ТУ помещения</x:v>
      </x:c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/>
      <x:c r="C14" s="16"/>
      <x:c r="D14" s="16"/>
      <x:c r="E14" s="16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Суммарная установленная</x:v>
      </x:c>
      <x:c r="C15" s="16" t="n">
        <x:f>SUM(C7:C13)</x:f>
        <x:v>13.96</x:v>
      </x:c>
      <x:c r="D15" s="16"/>
      <x:c r="E15" s="16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Расчетная рабочая</x:v>
      </x:c>
      <x:c r="C16" s="16"/>
      <x:c r="D16" s="16"/>
      <x:c r="E16" s="16" t="n">
        <x:f>SUM(E7:E13)</x:f>
        <x:v>9.491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Резерв на развитие</x:v>
      </x:c>
      <x:c r="C17" s="31" t="n">
        <x:v>0.25</x:v>
      </x:c>
      <x:c r="D17" s="16"/>
      <x:c r="E17" s="16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Запрос мощности, ориентир</x:v>
      </x:c>
      <x:c r="C18" s="16"/>
      <x:c r="D18" s="16"/>
      <x:c r="E18" s="16" t="n">
        <x:f>E16*(1+C17)</x:f>
        <x:v>11.86375</x:v>
      </x:c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Ток 3 фазы, 400 В, cosφ 0,95</x:v>
      </x:c>
      <x:c r="C19" s="16"/>
      <x:c r="D19" s="16"/>
      <x:c r="E19" s="16" t="n">
        <x:f>E18*1000/(1.732*400*0.95)</x:f>
        <x:v>18.02563206515133</x:v>
      </x:c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Эквивалент работы, ч/день</x:v>
      </x:c>
      <x:c r="C20" s="16" t="n">
        <x:v>8</x:v>
      </x:c>
      <x:c r="D20" s="16"/>
      <x:c r="E20" s="16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 t="str">
        <x:v>Электроэнергия, кВт·ч/мес</x:v>
      </x:c>
      <x:c r="C21" s="16"/>
      <x:c r="D21" s="16"/>
      <x:c r="E21" s="17" t="n">
        <x:f>E16*C20*'Допущения'!B18</x:f>
        <x:v>2277.84</x:v>
      </x:c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 t="str">
        <x:v>Электроэнергия, ₽/мес</x:v>
      </x:c>
      <x:c r="C22" s="16"/>
      <x:c r="D22" s="16"/>
      <x:c r="E22" s="17" t="n">
        <x:f>E21*'Допущения'!B24</x:f>
        <x:v>20500.56</x:v>
      </x:c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Не использовать для монтажа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Сечения, автоматы, УЗО, селективность и падение напряжения определяются после обмеров и паспортов.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Energy Jump: противоречие напряжения. Триколор: 60/600 Вт. Не подключать по этой таблице.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Отопление, существующие общие инженерные системы и категория надежности требуют ТУ арендодателя.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5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Инвестиции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Статья</x:v>
      </x:c>
      <x:c r="C6" s="24" t="str">
        <x:v>Сумма, ₽</x:v>
      </x:c>
      <x:c r="D6" s="24" t="str">
        <x:v>Основание</x:v>
      </x:c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n">
        <x:v>1</x:v>
      </x:c>
      <x:c r="B7" s="28" t="str">
        <x:v>Оборудование RR</x:v>
      </x:c>
      <x:c r="C7" s="29" t="n">
        <x:f>'Оборудование'!E14</x:f>
        <x:v>756160</x:v>
      </x:c>
      <x:c r="D7" s="28" t="str">
        <x:v>Каталог 24.10.2026</x:v>
      </x:c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n">
        <x:v>2</x:v>
      </x:c>
      <x:c r="B8" s="28" t="str">
        <x:v>Доставка и монтаж RR, резерв</x:v>
      </x:c>
      <x:c r="C8" s="28" t="n">
        <x:f>C7*0.08</x:f>
        <x:v>60492.8</x:v>
      </x:c>
      <x:c r="D8" s="28" t="str">
        <x:v>8% оборудования, требуется смета</x:v>
      </x:c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n">
        <x:v>3</x:v>
      </x:c>
      <x:c r="B9" s="28" t="str">
        <x:v>Отделка и общестрой без инженерии</x:v>
      </x:c>
      <x:c r="C9" s="28" t="n">
        <x:v>1900000</x:v>
      </x:c>
      <x:c r="D9" s="28" t="str">
        <x:v>19000 ₽/м² — гипотеза</x:v>
      </x:c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n">
        <x:v>4</x:v>
      </x:c>
      <x:c r="B10" s="28" t="str">
        <x:v>Кафе, кухня, мебель и посадка</x:v>
      </x:c>
      <x:c r="C10" s="28" t="n">
        <x:v>240000</x:v>
      </x:c>
      <x:c r="D10" s="28" t="str">
        <x:v>Внешние поставщики, бюджетный резерв</x:v>
      </x:c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n">
        <x:v>5</x:v>
      </x:c>
      <x:c r="B11" s="28" t="str">
        <x:v>Сцена, звук, банкетные комнаты и декор</x:v>
      </x:c>
      <x:c r="C11" s="28" t="n">
        <x:v>70000</x:v>
      </x:c>
      <x:c r="D11" s="28" t="str">
        <x:v>Внешние поставщики, бюджетный резерв</x:v>
      </x:c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n">
        <x:v>6</x:v>
      </x:c>
      <x:c r="B12" s="28" t="str">
        <x:v>Касса, учет доступа, СКУД, CCTV, сеть</x:v>
      </x:c>
      <x:c r="C12" s="28" t="n">
        <x:v>180000</x:v>
      </x:c>
      <x:c r="D12" s="28" t="str">
        <x:v>Внешние поставщики, бюджетный резерв</x:v>
      </x:c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n">
        <x:v>7</x:v>
      </x:c>
      <x:c r="B13" s="28" t="str">
        <x:v>Электрика, вентиляция, пожарные системы: резерв</x:v>
      </x:c>
      <x:c r="C13" s="28" t="n">
        <x:v>600000</x:v>
      </x:c>
      <x:c r="D13" s="28" t="str">
        <x:v>Внешние поставщики, бюджетный резерв</x:v>
      </x:c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n">
        <x:v>8</x:v>
      </x:c>
      <x:c r="B14" s="28" t="str">
        <x:v>Обследование, адаптация проекта, согласования: резерв</x:v>
      </x:c>
      <x:c r="C14" s="28" t="n">
        <x:v>100000</x:v>
      </x:c>
      <x:c r="D14" s="28" t="str">
        <x:v>Внешние поставщики, бюджетный резерв</x:v>
      </x:c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Основные вложения</x:v>
      </x:c>
      <x:c r="C15" s="7" t="n">
        <x:f>SUM(C7:C14)</x:f>
        <x:v>3906652.8</x:v>
      </x:c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Непредвиденные, 10%</x:v>
      </x:c>
      <x:c r="C16" s="7" t="n">
        <x:f>C15*0.10</x:f>
        <x:v>390665.28</x:v>
      </x:c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Депозит аренды: два месяца</x:v>
      </x:c>
      <x:c r="C17" s="7" t="n">
        <x:v>150000</x:v>
      </x:c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Реклама запуска</x:v>
      </x:c>
      <x:c r="C18" s="7" t="n">
        <x:v>150000</x:v>
      </x:c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Оборотный резерв: 3 месяца fixed</x:v>
      </x:c>
      <x:c r="C19" s="7" t="n">
        <x:f>C35*3</x:f>
        <x:v>1625466.6800000002</x:v>
      </x:c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ВСЕГО стартовый бюджет</x:v>
      </x:c>
      <x:c r="C20" s="7" t="n">
        <x:f>SUM(C15:C19)</x:f>
        <x:v>6222784.76</x:v>
      </x:c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№</x:v>
      </x:c>
      <x:c r="B24" s="7" t="str">
        <x:v>Постоянные расходы / месяц</x:v>
      </x:c>
      <x:c r="C24" s="7" t="str">
        <x:v>Сумма, ₽</x:v>
      </x:c>
      <x:c r="D24" s="7" t="str">
        <x:v>Основание</x:v>
      </x:c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 t="str">
        <x:v>ФОТ с резервом взносов</x:v>
      </x:c>
      <x:c r="C25" s="9" t="n">
        <x:f>'Персонал'!E15</x:f>
        <x:v>381616.2</x:v>
      </x:c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n">
        <x:v>2</x:v>
      </x:c>
      <x:c r="B26" s="1" t="str">
        <x:v>Аренда</x:v>
      </x:c>
      <x:c r="C26" s="7" t="n">
        <x:v>75000</x:v>
      </x:c>
      <x:c r="D26" s="7" t="str">
        <x:v>Бюджетное допущение</x:v>
      </x:c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n">
        <x:v>3</x:v>
      </x:c>
      <x:c r="B27" s="1" t="str">
        <x:v>Коммунальные: электричество (9 ₽/кВт·ч)</x:v>
      </x:c>
      <x:c r="C27" s="9" t="n">
        <x:f>'Электрика'!E22</x:f>
        <x:v>20500.56</x:v>
      </x:c>
      <x:c r="D27" s="7" t="str">
        <x:v>Бюджетное допущение</x:v>
      </x:c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n">
        <x:v>4</x:v>
      </x:c>
      <x:c r="B28" s="1" t="str">
        <x:v>Вода, отопление и общие услуги</x:v>
      </x:c>
      <x:c r="C28" s="7" t="n">
        <x:v>6000</x:v>
      </x:c>
      <x:c r="D28" s="7" t="str">
        <x:v>Бюджетное допущение</x:v>
      </x:c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n">
        <x:v>5</x:v>
      </x:c>
      <x:c r="B29" s="1" t="str">
        <x:v>Текущая реклама, включая события</x:v>
      </x:c>
      <x:c r="C29" s="7" t="n">
        <x:v>35000</x:v>
      </x:c>
      <x:c r="D29" s="7" t="str">
        <x:v>Бюджетное допущение</x:v>
      </x:c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n">
        <x:v>6</x:v>
      </x:c>
      <x:c r="B30" s="1" t="str">
        <x:v>Расходы связи, кассы, ПО, бухгалтерии</x:v>
      </x:c>
      <x:c r="C30" s="7" t="n">
        <x:v>18000</x:v>
      </x:c>
      <x:c r="D30" s="7" t="str">
        <x:v>Бюджетное допущение</x:v>
      </x:c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7</x:v>
      </x:c>
      <x:c r="B31" s="1" t="str">
        <x:v>Плановый сервис и расходники</x:v>
      </x:c>
      <x:c r="C31" s="7" t="n">
        <x:f>C7*0.035/12</x:f>
        <x:v>2205.4666666666667</x:v>
      </x:c>
      <x:c r="D31" s="7" t="str">
        <x:v>Бюджетное допущение</x:v>
      </x:c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8</x:v>
      </x:c>
      <x:c r="B32" s="1" t="str">
        <x:v>Страхование и охрана: резерв</x:v>
      </x:c>
      <x:c r="C32" s="7" t="n">
        <x:v>3500</x:v>
      </x:c>
      <x:c r="D32" s="7" t="str">
        <x:v>Бюджетное допущение</x:v>
      </x:c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 t="str">
        <x:v>ИТОГО постоянных</x:v>
      </x:c>
      <x:c r="C35" s="7" t="n">
        <x:f>SUM(C25:C32)</x:f>
        <x:v>541822.2266666667</x:v>
      </x:c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Внешнее оснащение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Порекомендуем надежных поставщиков подобного оборудования клиентам, которые открывают центр вместе с нами.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 t="str">
        <x:v>В стартовом бюджете есть оборотный резерв и возвратный депозит: они не являются продажей оборудования RR.</x:v>
      </x:c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Кредит, покупка недвижимости и централизованное отопление сверх резерва не включены.</x:v>
      </x:c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Зоны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Зона</x:v>
      </x:c>
      <x:c r="C6" s="24" t="str">
        <x:v>Объем</x:v>
      </x:c>
      <x:c r="D6" s="24" t="str">
        <x:v>Цена</x:v>
      </x:c>
      <x:c r="E6" s="24" t="str">
        <x:v>Платежи ₽</x:v>
      </x:c>
      <x:c r="F6" s="24" t="str">
        <x:v>Без НДС ₽</x:v>
      </x:c>
      <x:c r="G6" s="24" t="str">
        <x:v>Прямые ₽</x:v>
      </x:c>
      <x:c r="H6" s="24" t="str">
        <x:v>Эквайринг ₽</x:v>
      </x:c>
      <x:c r="I6" s="24" t="str">
        <x:v>Маржа ₽</x:v>
      </x:c>
      <x:c r="J6" s="24" t="str">
        <x:v>Общие fixed ₽</x:v>
      </x:c>
      <x:c r="K6" s="24" t="str">
        <x:v>Налог ₽</x:v>
      </x:c>
      <x:c r="L6" s="24" t="str">
        <x:v>Обновление ₽</x:v>
      </x:c>
      <x:c r="M6" s="24" t="str">
        <x:v>Поток ₽</x:v>
      </x:c>
      <x:c r="N6" s="24" t="str">
        <x:v>Доля выручки</x:v>
      </x:c>
      <x:c r="O6" s="24" t="str">
        <x:v>Вложения ₽</x:v>
      </x:c>
      <x:c r="P6" s="24" t="str">
        <x:v>Простая окуп. мес</x:v>
      </x:c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9" t="str">
        <x:f>'Допущения'!B31</x:f>
        <x:v>Входные билеты и свободная игра</x:v>
      </x:c>
      <x:c r="C7" s="9" t="n">
        <x:f>'Допущения'!C31*'Допущения'!$B$8</x:f>
        <x:v>1359.8999999999999</x:v>
      </x:c>
      <x:c r="D7" s="9" t="n">
        <x:f>'Допущения'!D31</x:f>
        <x:v>650</x:v>
      </x:c>
      <x:c r="E7" s="7" t="n">
        <x:f>C7*D7</x:f>
        <x:v>883934.9999999999</x:v>
      </x:c>
      <x:c r="F7" s="9" t="n">
        <x:f>E7/(1+'Допущения'!$B$9)</x:f>
        <x:v>841842.857142857</x:v>
      </x:c>
      <x:c r="G7" s="9" t="n">
        <x:f>F7*'Допущения'!E31+C7*'Допущения'!F31</x:f>
        <x:v>16836.85714285714</x:v>
      </x:c>
      <x:c r="H7" s="9" t="n">
        <x:f>E7*'Допущения'!$B$11</x:f>
        <x:v>17678.699999999997</x:v>
      </x:c>
      <x:c r="I7" s="7" t="n">
        <x:f>F7-G7-H7</x:f>
        <x:v>807327.2999999999</x:v>
      </x:c>
      <x:c r="J7" s="9" t="n">
        <x:f>'Инвестиции'!$C$35*'Допущения'!G31/SUM('Допущения'!$G$31:$G$37)</x:f>
        <x:v>197539.35347222222</x:v>
      </x:c>
      <x:c r="K7" s="9" t="n">
        <x:f>F7*'Допущения'!$B$10</x:f>
        <x:v>50510.57142857142</x:v>
      </x:c>
      <x:c r="L7" s="9" t="n">
        <x:f>F7*'Допущения'!$B$12</x:f>
        <x:v>16836.85714285714</x:v>
      </x:c>
      <x:c r="M7" s="7" t="n">
        <x:f>I7-J7-K7-L7</x:f>
        <x:v>542440.5179563492</x:v>
      </x:c>
      <x:c r="N7" s="20" t="n">
        <x:f>E7/SUM($E$7:$E$13)</x:f>
        <x:v>0.6562710343280234</x:v>
      </x:c>
      <x:c r="O7" s="9" t="n">
        <x:f>'Инвестиции'!$C$20*'Допущения'!G31/SUM('Допущения'!$G$31:$G$37)</x:f>
        <x:v>2268723.6104166666</x:v>
      </x:c>
      <x:c r="P7" s="21" t="n">
        <x:f>IF(M7&gt;0,O7/M7,"нет")</x:f>
        <x:v>4.182437585901784</x:v>
      </x:c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9" t="str">
        <x:f>'Допущения'!B32</x:f>
        <x:v>Технологические аттракционы</x:v>
      </x:c>
      <x:c r="C8" s="9" t="n">
        <x:f>'Допущения'!C32*'Допущения'!$B$8</x:f>
        <x:v>271.97999999999996</x:v>
      </x:c>
      <x:c r="D8" s="9" t="n">
        <x:f>'Допущения'!D32</x:f>
        <x:v>140</x:v>
      </x:c>
      <x:c r="E8" s="7" t="n">
        <x:f>C8*D8</x:f>
        <x:v>38077.2</x:v>
      </x:c>
      <x:c r="F8" s="9" t="n">
        <x:f>E8/(1+'Допущения'!$B$9)</x:f>
        <x:v>36263.99999999999</x:v>
      </x:c>
      <x:c r="G8" s="9" t="n">
        <x:f>F8*'Допущения'!E32+C8*'Допущения'!F32</x:f>
        <x:v>1813.1999999999998</x:v>
      </x:c>
      <x:c r="H8" s="9" t="n">
        <x:f>E8*'Допущения'!$B$11</x:f>
        <x:v>761.544</x:v>
      </x:c>
      <x:c r="I8" s="7" t="n">
        <x:f>F8-G8-H8</x:f>
        <x:v>33689.255999999994</x:v>
      </x:c>
      <x:c r="J8" s="9" t="n">
        <x:f>'Инвестиции'!$C$35*'Допущения'!G32/SUM('Допущения'!$G$31:$G$37)</x:f>
        <x:v>84659.72291666667</x:v>
      </x:c>
      <x:c r="K8" s="9" t="n">
        <x:f>F8*'Допущения'!$B$10</x:f>
        <x:v>2175.8399999999997</x:v>
      </x:c>
      <x:c r="L8" s="9" t="n">
        <x:f>F8*'Допущения'!$B$12</x:f>
        <x:v>725.2799999999999</x:v>
      </x:c>
      <x:c r="M8" s="7" t="n">
        <x:f>I8-J8-K8-L8</x:f>
        <x:v>-53871.58691666667</x:v>
      </x:c>
      <x:c r="N8" s="20" t="n">
        <x:f>E8/SUM($E$7:$E$13)</x:f>
        <x:v>0.02827013686336101</x:v>
      </x:c>
      <x:c r="O8" s="9" t="n">
        <x:f>'Инвестиции'!$C$20*'Допущения'!G32/SUM('Допущения'!$G$31:$G$37)</x:f>
        <x:v>972310.1187499999</x:v>
      </x:c>
      <x:c r="P8" s="21" t="str">
        <x:f>IF(M8&gt;0,O8/M8,"нет")</x:f>
        <x:v>нет</x:v>
      </x:c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9" t="str">
        <x:f>'Допущения'!B33</x:f>
        <x:v>Аркады и семейные игры</x:v>
      </x:c>
      <x:c r="C9" s="9" t="n">
        <x:f>'Допущения'!C33*'Допущения'!$B$8</x:f>
        <x:v>317.31</x:v>
      </x:c>
      <x:c r="D9" s="9" t="n">
        <x:f>'Допущения'!D33</x:f>
        <x:v>100</x:v>
      </x:c>
      <x:c r="E9" s="7" t="n">
        <x:f>C9*D9</x:f>
        <x:v>31731</x:v>
      </x:c>
      <x:c r="F9" s="9" t="n">
        <x:f>E9/(1+'Допущения'!$B$9)</x:f>
        <x:v>30220</x:v>
      </x:c>
      <x:c r="G9" s="9" t="n">
        <x:f>F9*'Допущения'!E33+C9*'Допущения'!F33</x:f>
        <x:v>6044</x:v>
      </x:c>
      <x:c r="H9" s="9" t="n">
        <x:f>E9*'Допущения'!$B$11</x:f>
        <x:v>634.62</x:v>
      </x:c>
      <x:c r="I9" s="7" t="n">
        <x:f>F9-G9-H9</x:f>
        <x:v>23541.38</x:v>
      </x:c>
      <x:c r="J9" s="9" t="n">
        <x:f>'Инвестиции'!$C$35*'Допущения'!G33/SUM('Допущения'!$G$31:$G$37)</x:f>
        <x:v>67727.77833333334</x:v>
      </x:c>
      <x:c r="K9" s="9" t="n">
        <x:f>F9*'Допущения'!$B$10</x:f>
        <x:v>1813.2</x:v>
      </x:c>
      <x:c r="L9" s="9" t="n">
        <x:f>F9*'Допущения'!$B$12</x:f>
        <x:v>604.4</x:v>
      </x:c>
      <x:c r="M9" s="7" t="n">
        <x:f>I9-J9-K9-L9</x:f>
        <x:v>-46603.99833333333</x:v>
      </x:c>
      <x:c r="N9" s="20" t="n">
        <x:f>E9/SUM($E$7:$E$13)</x:f>
        <x:v>0.023558447386134176</x:v>
      </x:c>
      <x:c r="O9" s="9" t="n">
        <x:f>'Инвестиции'!$C$20*'Допущения'!G33/SUM('Допущения'!$G$31:$G$37)</x:f>
        <x:v>777848.095</x:v>
      </x:c>
      <x:c r="P9" s="21" t="str">
        <x:f>IF(M9&gt;0,O9/M9,"нет")</x:f>
        <x:v>нет</x:v>
      </x:c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9" t="str">
        <x:f>'Допущения'!B34</x:f>
        <x:v>Банкетные комнаты и ведущий</x:v>
      </x:c>
      <x:c r="C10" s="9" t="n">
        <x:f>'Допущения'!C34*'Допущения'!$B$8</x:f>
        <x:v>15.11</x:v>
      </x:c>
      <x:c r="D10" s="9" t="n">
        <x:f>'Допущения'!D34</x:f>
        <x:v>9500</x:v>
      </x:c>
      <x:c r="E10" s="7" t="n">
        <x:f>C10*D10</x:f>
        <x:v>143545</x:v>
      </x:c>
      <x:c r="F10" s="9" t="n">
        <x:f>E10/(1+'Допущения'!$B$9)</x:f>
        <x:v>136709.52380952382</x:v>
      </x:c>
      <x:c r="G10" s="9" t="n">
        <x:f>F10*'Допущения'!E34+C10*'Допущения'!F34</x:f>
        <x:v>34177.380952380954</x:v>
      </x:c>
      <x:c r="H10" s="9" t="n">
        <x:f>E10*'Допущения'!$B$11</x:f>
        <x:v>2870.9</x:v>
      </x:c>
      <x:c r="I10" s="7" t="n">
        <x:f>F10-G10-H10</x:f>
        <x:v>99661.24285714288</x:v>
      </x:c>
      <x:c r="J10" s="9" t="n">
        <x:f>'Инвестиции'!$C$35*'Допущения'!G34/SUM('Допущения'!$G$31:$G$37)</x:f>
        <x:v>67727.77833333334</x:v>
      </x:c>
      <x:c r="K10" s="9" t="n">
        <x:f>F10*'Допущения'!$B$10</x:f>
        <x:v>8202.57142857143</x:v>
      </x:c>
      <x:c r="L10" s="9" t="n">
        <x:f>F10*'Допущения'!$B$12</x:f>
        <x:v>2734.1904761904766</x:v>
      </x:c>
      <x:c r="M10" s="7" t="n">
        <x:f>I10-J10-K10-L10</x:f>
        <x:v>20996.702619047635</x:v>
      </x:c>
      <x:c r="N10" s="20" t="n">
        <x:f>E10/SUM($E$7:$E$13)</x:f>
        <x:v>0.10657392865155937</x:v>
      </x:c>
      <x:c r="O10" s="9" t="n">
        <x:f>'Инвестиции'!$C$20*'Допущения'!G34/SUM('Допущения'!$G$31:$G$37)</x:f>
        <x:v>777848.095</x:v>
      </x:c>
      <x:c r="P10" s="21" t="n">
        <x:f>IF(M10&gt;0,O10/M10,"нет")</x:f>
        <x:v>37.046202402007516</x:v>
      </x:c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9" t="str">
        <x:f>'Допущения'!B35</x:f>
        <x:v>Кафе и ожидание родителей</x:v>
      </x:c>
      <x:c r="C11" s="9" t="n">
        <x:f>'Допущения'!C35*'Допущения'!$B$8</x:f>
        <x:v>543.9599999999999</x:v>
      </x:c>
      <x:c r="D11" s="9" t="n">
        <x:f>'Допущения'!D35</x:f>
        <x:v>420</x:v>
      </x:c>
      <x:c r="E11" s="7" t="n">
        <x:f>C11*D11</x:f>
        <x:v>228463.19999999995</x:v>
      </x:c>
      <x:c r="F11" s="9" t="n">
        <x:f>E11/(1+'Допущения'!$B$9)</x:f>
        <x:v>217583.99999999994</x:v>
      </x:c>
      <x:c r="G11" s="9" t="n">
        <x:f>F11*'Допущения'!E35+C11*'Допущения'!F35</x:f>
        <x:v>76154.39999999998</x:v>
      </x:c>
      <x:c r="H11" s="9" t="n">
        <x:f>E11*'Допущения'!$B$11</x:f>
        <x:v>4569.263999999999</x:v>
      </x:c>
      <x:c r="I11" s="7" t="n">
        <x:f>F11-G11-H11</x:f>
        <x:v>136860.33599999998</x:v>
      </x:c>
      <x:c r="J11" s="9" t="n">
        <x:f>'Инвестиции'!$C$35*'Допущения'!G35/SUM('Допущения'!$G$31:$G$37)</x:f>
        <x:v>79015.7413888889</x:v>
      </x:c>
      <x:c r="K11" s="9" t="n">
        <x:f>F11*'Допущения'!$B$10</x:f>
        <x:v>13055.039999999995</x:v>
      </x:c>
      <x:c r="L11" s="9" t="n">
        <x:f>F11*'Допущения'!$B$12</x:f>
        <x:v>4351.6799999999985</x:v>
      </x:c>
      <x:c r="M11" s="7" t="n">
        <x:f>I11-J11-K11-L11</x:f>
        <x:v>40437.87461111109</x:v>
      </x:c>
      <x:c r="N11" s="20" t="n">
        <x:f>E11/SUM($E$7:$E$13)</x:f>
        <x:v>0.16962082118016603</x:v>
      </x:c>
      <x:c r="O11" s="9" t="n">
        <x:f>'Инвестиции'!$C$20*'Допущения'!G35/SUM('Допущения'!$G$31:$G$37)</x:f>
        <x:v>907489.4441666667</x:v>
      </x:c>
      <x:c r="P11" s="21" t="n">
        <x:f>IF(M11&gt;0,O11/M11,"нет")</x:f>
        <x:v>22.441571247102992</x:v>
      </x:c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9" t="str">
        <x:f>'Допущения'!B36</x:f>
        <x:v>Платные мастер-классы</x:v>
      </x:c>
      <x:c r="C12" s="9" t="n">
        <x:f>'Допущения'!C36*'Допущения'!$B$8</x:f>
        <x:v>60.44</x:v>
      </x:c>
      <x:c r="D12" s="9" t="n">
        <x:f>'Допущения'!D36</x:f>
        <x:v>350</x:v>
      </x:c>
      <x:c r="E12" s="7" t="n">
        <x:f>C12*D12</x:f>
        <x:v>21154</x:v>
      </x:c>
      <x:c r="F12" s="9" t="n">
        <x:f>E12/(1+'Допущения'!$B$9)</x:f>
        <x:v>20146.666666666664</x:v>
      </x:c>
      <x:c r="G12" s="9" t="n">
        <x:f>F12*'Допущения'!E36+C12*'Допущения'!F36</x:f>
        <x:v>6043.999999999999</x:v>
      </x:c>
      <x:c r="H12" s="9" t="n">
        <x:f>E12*'Допущения'!$B$11</x:f>
        <x:v>423.08</x:v>
      </x:c>
      <x:c r="I12" s="7" t="n">
        <x:f>F12-G12-H12</x:f>
        <x:v>13679.586666666664</x:v>
      </x:c>
      <x:c r="J12" s="9" t="n">
        <x:f>'Инвестиции'!$C$35*'Допущения'!G36/SUM('Допущения'!$G$31:$G$37)</x:f>
        <x:v>45151.85222222223</x:v>
      </x:c>
      <x:c r="K12" s="9" t="n">
        <x:f>F12*'Допущения'!$B$10</x:f>
        <x:v>1208.7999999999997</x:v>
      </x:c>
      <x:c r="L12" s="9" t="n">
        <x:f>F12*'Допущения'!$B$12</x:f>
        <x:v>402.9333333333333</x:v>
      </x:c>
      <x:c r="M12" s="7" t="n">
        <x:f>I12-J12-K12-L12</x:f>
        <x:v>-33083.9988888889</x:v>
      </x:c>
      <x:c r="N12" s="20" t="n">
        <x:f>E12/SUM($E$7:$E$13)</x:f>
        <x:v>0.01570563159075612</x:v>
      </x:c>
      <x:c r="O12" s="9" t="n">
        <x:f>'Инвестиции'!$C$20*'Допущения'!G36/SUM('Допущения'!$G$31:$G$37)</x:f>
        <x:v>518565.3966666667</x:v>
      </x:c>
      <x:c r="P12" s="21" t="str">
        <x:f>IF(M12&gt;0,O12/M12,"нет")</x:f>
        <x:v>нет</x:v>
      </x:c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9" t="str">
        <x:f>'Допущения'!B37</x:f>
        <x:v>Нейрофото</x:v>
      </x:c>
      <x:c r="C13" s="9" t="n">
        <x:f>'Допущения'!C37*'Допущения'!$B$8</x:f>
        <x:v>0</x:v>
      </x:c>
      <x:c r="D13" s="9" t="n">
        <x:f>'Допущения'!D37</x:f>
        <x:v>200</x:v>
      </x:c>
      <x:c r="E13" s="7" t="n">
        <x:f>C13*D13</x:f>
        <x:v>0</x:v>
      </x:c>
      <x:c r="F13" s="9" t="n">
        <x:f>E13/(1+'Допущения'!$B$9)</x:f>
        <x:v>0</x:v>
      </x:c>
      <x:c r="G13" s="9" t="n">
        <x:f>F13*'Допущения'!E37+C13*'Допущения'!F37</x:f>
        <x:v>0</x:v>
      </x:c>
      <x:c r="H13" s="9" t="n">
        <x:f>E13*'Допущения'!$B$11</x:f>
        <x:v>0</x:v>
      </x:c>
      <x:c r="I13" s="7" t="n">
        <x:f>F13-G13-H13</x:f>
        <x:v>0</x:v>
      </x:c>
      <x:c r="J13" s="9" t="n">
        <x:f>'Инвестиции'!$C$35*'Допущения'!G37/SUM('Допущения'!$G$31:$G$37)</x:f>
        <x:v>0</x:v>
      </x:c>
      <x:c r="K13" s="9" t="n">
        <x:f>F13*'Допущения'!$B$10</x:f>
        <x:v>0</x:v>
      </x:c>
      <x:c r="L13" s="9" t="n">
        <x:f>F13*'Допущения'!$B$12</x:f>
        <x:v>0</x:v>
      </x:c>
      <x:c r="M13" s="7" t="n">
        <x:f>I13-J13-K13-L13</x:f>
        <x:v>0</x:v>
      </x:c>
      <x:c r="N13" s="20" t="n">
        <x:f>E13/SUM($E$7:$E$13)</x:f>
        <x:v>0</x:v>
      </x:c>
      <x:c r="O13" s="9" t="n">
        <x:f>'Инвестиции'!$C$20*'Допущения'!G37/SUM('Допущения'!$G$31:$G$37)</x:f>
        <x:v>0</x:v>
      </x:c>
      <x:c r="P13" s="21" t="str">
        <x:f>IF(M13&gt;0,O13/M13,"нет")</x:f>
        <x:v>нет</x:v>
      </x:c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 t="str">
        <x:v>ИТОГО</x:v>
      </x:c>
      <x:c r="C14" s="7"/>
      <x:c r="D14" s="7"/>
      <x:c r="E14" s="7" t="n">
        <x:f>SUM(E7:E13)</x:f>
        <x:v>1346905.3999999997</x:v>
      </x:c>
      <x:c r="F14" s="7" t="n">
        <x:f>SUM(F7:F13)</x:f>
        <x:v>1282767.0476190476</x:v>
      </x:c>
      <x:c r="G14" s="7" t="n">
        <x:f>SUM(G7:G13)</x:f>
        <x:v>141069.83809523808</x:v>
      </x:c>
      <x:c r="H14" s="7" t="n">
        <x:f>SUM(H7:H13)</x:f>
        <x:v>26938.108</x:v>
      </x:c>
      <x:c r="I14" s="7" t="n">
        <x:f>SUM(I7:I13)</x:f>
        <x:v>1114759.1015238094</x:v>
      </x:c>
      <x:c r="J14" s="7" t="n">
        <x:f>SUM(J7:J13)</x:f>
        <x:v>541822.2266666667</x:v>
      </x:c>
      <x:c r="K14" s="7" t="n">
        <x:f>SUM(K7:K13)</x:f>
        <x:v>76966.02285714285</x:v>
      </x:c>
      <x:c r="L14" s="7" t="n">
        <x:f>SUM(L7:L13)</x:f>
        <x:v>25655.340952380953</x:v>
      </x:c>
      <x:c r="M14" s="7" t="n">
        <x:f>SUM(M7:M13)</x:f>
        <x:v>470315.511047619</x:v>
      </x:c>
      <x:c r="N14" s="20" t="n">
        <x:f>SUM(N7:N13)</x:f>
        <x:v>1.0000000000000002</x:v>
      </x:c>
      <x:c r="O14" s="7" t="n">
        <x:f>SUM(O7:O13)</x:f>
        <x:v>6222784.76</x:v>
      </x:c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Управленческое распределение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Общие расходы и стартовый бюджет распределены по редактируемым весам, не по доказанной причинности.</x:v>
      </x:c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Окупаемость зоны — простой показатель стабильного месяца, без разгона. Окупаемость центра — по накопленному потоку.</x:v>
      </x:c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Модель не прибавляет выручку от шахмат: это бесплатное удобство кафе.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Поток 48 мес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Мес</x:v>
      </x:c>
      <x:c r="B6" s="25" t="str">
        <x:v>Разгон × сезон</x:v>
      </x:c>
      <x:c r="C6" s="24" t="str">
        <x:v>Билеты</x:v>
      </x:c>
      <x:c r="D6" s="24" t="str">
        <x:v>Техно</x:v>
      </x:c>
      <x:c r="E6" s="24" t="str">
        <x:v>Аркады</x:v>
      </x:c>
      <x:c r="F6" s="24" t="str">
        <x:v>Праздники</x:v>
      </x:c>
      <x:c r="G6" s="24" t="str">
        <x:v>Кафе</x:v>
      </x:c>
      <x:c r="H6" s="24" t="str">
        <x:v>Мастер-классы</x:v>
      </x:c>
      <x:c r="I6" s="24" t="str">
        <x:v>Фото</x:v>
      </x:c>
      <x:c r="J6" s="24" t="str">
        <x:v>Платежи</x:v>
      </x:c>
      <x:c r="K6" s="24" t="str">
        <x:v>Без НДС</x:v>
      </x:c>
      <x:c r="L6" s="24" t="str">
        <x:v>Прямые</x:v>
      </x:c>
      <x:c r="M6" s="24" t="str">
        <x:v>Эквайринг</x:v>
      </x:c>
      <x:c r="N6" s="24" t="str">
        <x:v>Постоянные</x:v>
      </x:c>
      <x:c r="O6" s="24" t="str">
        <x:v>Налог</x:v>
      </x:c>
      <x:c r="P6" s="24" t="str">
        <x:v>Обновление</x:v>
      </x:c>
      <x:c r="Q6" s="24" t="str">
        <x:v>EBITDA</x:v>
      </x:c>
      <x:c r="R6" s="1" t="str">
        <x:v>Поток</x:v>
      </x:c>
      <x:c r="S6" s="1" t="str">
        <x:v>Накопленный</x:v>
      </x:c>
      <x:c r="T6" s="1" t="str">
        <x:v>Окуп. мес</x:v>
      </x:c>
      <x:c r="U6" s="1" t="str">
        <x:v>Дети/час сред.</x:v>
      </x:c>
      <x:c r="V6" s="1"/>
      <x:c r="W6" s="1"/>
    </x:row>
    <x:row r="7" ht="23" customHeight="1">
      <x:c r="A7" s="1" t="n">
        <x:v>1</x:v>
      </x:c>
      <x:c r="B7" s="17" t="n">
        <x:f>'Допущения'!C42*'Допущения'!D42</x:f>
        <x:v>0.5033898305084746</x:v>
      </x:c>
      <x:c r="C7" s="9" t="n">
        <x:f>'Допущения'!C31*'Допущения'!$B$8*'Допущения'!D31*$B7*(1+'Допущения'!$B$13)^0</x:f>
        <x:v>444963.88983050844</x:v>
      </x:c>
      <x:c r="D7" s="9" t="n">
        <x:f>'Допущения'!C32*'Допущения'!$B$8*'Допущения'!D32*$B7*(1+'Допущения'!$B$13)^0</x:f>
        <x:v>19167.67525423729</x:v>
      </x:c>
      <x:c r="E7" s="9" t="n">
        <x:f>'Допущения'!C33*'Допущения'!$B$8*'Допущения'!D33*$B7*(1+'Допущения'!$B$13)^0</x:f>
        <x:v>15973.062711864408</x:v>
      </x:c>
      <x:c r="F7" s="9" t="n">
        <x:f>'Допущения'!C34*'Допущения'!$B$8*'Допущения'!D34*$B7*(1+'Допущения'!$B$13)^0</x:f>
        <x:v>72259.093220339</x:v>
      </x:c>
      <x:c r="G7" s="9" t="n">
        <x:f>'Допущения'!C35*'Допущения'!$B$8*'Допущения'!D35*$B7*(1+'Допущения'!$B$13)^0</x:f>
        <x:v>115006.05152542373</x:v>
      </x:c>
      <x:c r="H7" s="9" t="n">
        <x:f>'Допущения'!C36*'Допущения'!$B$8*'Допущения'!D36*$B7*(1+'Допущения'!$B$13)^0</x:f>
        <x:v>10648.708474576273</x:v>
      </x:c>
      <x:c r="I7" s="9" t="n">
        <x:f>'Допущения'!C37*'Допущения'!$B$8*'Допущения'!D37*$B7*(1+'Допущения'!$B$13)^0</x:f>
        <x:v>0</x:v>
      </x:c>
      <x:c r="J7" s="7" t="n">
        <x:f>SUM(C7:I7)</x:f>
        <x:v>678018.4810169492</x:v>
      </x:c>
      <x:c r="K7" s="9" t="n">
        <x:f>J7/(1+'Допущения'!$B$9)</x:f>
        <x:v>645731.8866828087</x:v>
      </x:c>
      <x:c r="L7" s="9" t="n">
        <x:f>C7/(1+'Допущения'!$B$9)*'Допущения'!E31+'Допущения'!C31*'Допущения'!$B$8*$B7*'Допущения'!F31*(1+'Допущения'!$B$14)^0+D7/(1+'Допущения'!$B$9)*'Допущения'!E32+'Допущения'!C32*'Допущения'!$B$8*$B7*'Допущения'!F32*(1+'Допущения'!$B$14)^0+E7/(1+'Допущения'!$B$9)*'Допущения'!E33+'Допущения'!C33*'Допущения'!$B$8*$B7*'Допущения'!F33*(1+'Допущения'!$B$14)^0+F7/(1+'Допущения'!$B$9)*'Допущения'!E34+'Допущения'!C34*'Допущения'!$B$8*$B7*'Допущения'!F34*(1+'Допущения'!$B$14)^0+G7/(1+'Допущения'!$B$9)*'Допущения'!E35+'Допущения'!C35*'Допущения'!$B$8*$B7*'Допущения'!F35*(1+'Допущения'!$B$14)^0+H7/(1+'Допущения'!$B$9)*'Допущения'!E36+'Допущения'!C36*'Допущения'!$B$8*$B7*'Допущения'!F36*(1+'Допущения'!$B$14)^0+I7/(1+'Допущения'!$B$9)*'Допущения'!E37+'Допущения'!C37*'Допущения'!$B$8*$B7*'Допущения'!F37*(1+'Допущения'!$B$14)^0</x:f>
        <x:v>71013.12188861985</x:v>
      </x:c>
      <x:c r="M7" s="9" t="n">
        <x:f>J7*'Допущения'!$B$11</x:f>
        <x:v>13560.369620338985</x:v>
      </x:c>
      <x:c r="N7" s="9" t="n">
        <x:f>'Инвестиции'!$C$35*(1+'Допущения'!$B$14)^0</x:f>
        <x:v>541822.2266666667</x:v>
      </x:c>
      <x:c r="O7" s="9" t="n">
        <x:f>K7*'Допущения'!$B$10</x:f>
        <x:v>38743.91320096852</x:v>
      </x:c>
      <x:c r="P7" s="9" t="n">
        <x:f>K7*'Допущения'!$B$12</x:f>
        <x:v>12914.637733656175</x:v>
      </x:c>
      <x:c r="Q7" s="7" t="n">
        <x:f>K7-L7-M7-N7</x:f>
        <x:v>19336.168507183203</x:v>
      </x:c>
      <x:c r="R7" s="7" t="n">
        <x:f>Q7-O7-P7</x:f>
        <x:v>-32322.38242744149</x:v>
      </x:c>
      <x:c r="S7" s="9" t="n">
        <x:f>R7-'Инвестиции'!C20</x:f>
        <x:v>-6255107.142427442</x:v>
      </x:c>
      <x:c r="T7" s="7" t="n">
        <x:f>IF(S7&gt;=0,A7,999)</x:f>
        <x:v>999</x:v>
      </x:c>
      <x:c r="U7" s="22" t="n">
        <x:f>'Допущения'!C31*'Допущения'!$B$8*B7*'Допущения'!$B$17/'Допущения'!$B$18/'Допущения'!$B$16</x:f>
        <x:v>3.111635593220339</x:v>
      </x:c>
      <x:c r="V7" s="7"/>
      <x:c r="W7" s="7"/>
    </x:row>
    <x:row r="8" ht="23" customHeight="1">
      <x:c r="A8" s="1" t="n">
        <x:v>2</x:v>
      </x:c>
      <x:c r="B8" s="17" t="n">
        <x:f>'Допущения'!C43*'Допущения'!D43</x:f>
        <x:v>0.5872881355932205</x:v>
      </x:c>
      <x:c r="C8" s="9" t="n">
        <x:f>'Допущения'!C31*'Допущения'!$B$8*'Допущения'!D31*$B8*(1+'Допущения'!$B$13)^0</x:f>
        <x:v>519124.53813559323</x:v>
      </x:c>
      <x:c r="D8" s="9" t="n">
        <x:f>'Допущения'!C32*'Допущения'!$B$8*'Допущения'!D32*$B8*(1+'Допущения'!$B$13)^0</x:f>
        <x:v>22362.287796610173</x:v>
      </x:c>
      <x:c r="E8" s="9" t="n">
        <x:f>'Допущения'!C33*'Допущения'!$B$8*'Допущения'!D33*$B8*(1+'Допущения'!$B$13)^0</x:f>
        <x:v>18635.23983050848</x:v>
      </x:c>
      <x:c r="F8" s="9" t="n">
        <x:f>'Допущения'!C34*'Допущения'!$B$8*'Допущения'!D34*$B8*(1+'Допущения'!$B$13)^0</x:f>
        <x:v>84302.27542372883</x:v>
      </x:c>
      <x:c r="G8" s="9" t="n">
        <x:f>'Допущения'!C35*'Допущения'!$B$8*'Допущения'!D35*$B8*(1+'Допущения'!$B$13)^0</x:f>
        <x:v>134173.72677966102</x:v>
      </x:c>
      <x:c r="H8" s="9" t="n">
        <x:f>'Допущения'!C36*'Допущения'!$B$8*'Допущения'!D36*$B8*(1+'Допущения'!$B$13)^0</x:f>
        <x:v>12423.493220338985</x:v>
      </x:c>
      <x:c r="I8" s="9" t="n">
        <x:f>'Допущения'!C37*'Допущения'!$B$8*'Допущения'!D37*$B8*(1+'Допущения'!$B$13)^0</x:f>
        <x:v>0</x:v>
      </x:c>
      <x:c r="J8" s="7" t="n">
        <x:f>SUM(C8:I8)</x:f>
        <x:v>791021.5611864408</x:v>
      </x:c>
      <x:c r="K8" s="9" t="n">
        <x:f>J8/(1+'Допущения'!$B$9)</x:f>
        <x:v>753353.8677966102</x:v>
      </x:c>
      <x:c r="L8" s="9" t="n">
        <x:f>C8/(1+'Допущения'!$B$9)*'Допущения'!E31+'Допущения'!C31*'Допущения'!$B$8*$B8*'Допущения'!F31*(1+'Допущения'!$B$14)^0+D8/(1+'Допущения'!$B$9)*'Допущения'!E32+'Допущения'!C32*'Допущения'!$B$8*$B8*'Допущения'!F32*(1+'Допущения'!$B$14)^0+E8/(1+'Допущения'!$B$9)*'Допущения'!E33+'Допущения'!C33*'Допущения'!$B$8*$B8*'Допущения'!F33*(1+'Допущения'!$B$14)^0+F8/(1+'Допущения'!$B$9)*'Допущения'!E34+'Допущения'!C34*'Допущения'!$B$8*$B8*'Допущения'!F34*(1+'Допущения'!$B$14)^0+G8/(1+'Допущения'!$B$9)*'Допущения'!E35+'Допущения'!C35*'Допущения'!$B$8*$B8*'Допущения'!F35*(1+'Допущения'!$B$14)^0+H8/(1+'Допущения'!$B$9)*'Допущения'!E36+'Допущения'!C36*'Допущения'!$B$8*$B8*'Допущения'!F36*(1+'Допущения'!$B$14)^0+I8/(1+'Допущения'!$B$9)*'Допущения'!E37+'Допущения'!C37*'Допущения'!$B$8*$B8*'Допущения'!F37*(1+'Допущения'!$B$14)^0</x:f>
        <x:v>82848.64220338984</x:v>
      </x:c>
      <x:c r="M8" s="9" t="n">
        <x:f>J8*'Допущения'!$B$11</x:f>
        <x:v>15820.431223728816</x:v>
      </x:c>
      <x:c r="N8" s="9" t="n">
        <x:f>'Инвестиции'!$C$35*(1+'Допущения'!$B$14)^0</x:f>
        <x:v>541822.2266666667</x:v>
      </x:c>
      <x:c r="O8" s="9" t="n">
        <x:f>K8*'Допущения'!$B$10</x:f>
        <x:v>45201.23206779661</x:v>
      </x:c>
      <x:c r="P8" s="9" t="n">
        <x:f>K8*'Допущения'!$B$12</x:f>
        <x:v>15067.077355932204</x:v>
      </x:c>
      <x:c r="Q8" s="7" t="n">
        <x:f>K8-L8-M8-N8</x:f>
        <x:v>112862.56770282495</x:v>
      </x:c>
      <x:c r="R8" s="7" t="n">
        <x:f>Q8-O8-P8</x:f>
        <x:v>52594.25827909614</x:v>
      </x:c>
      <x:c r="S8" s="7" t="n">
        <x:f>S7+R8</x:f>
        <x:v>-6202512.884148345</x:v>
      </x:c>
      <x:c r="T8" s="7" t="n">
        <x:f>IF(S8&gt;=0,A8,999)</x:f>
        <x:v>999</x:v>
      </x:c>
      <x:c r="U8" s="22" t="n">
        <x:f>'Допущения'!C31*'Допущения'!$B$8*B8*'Допущения'!$B$17/'Допущения'!$B$18/'Допущения'!$B$16</x:f>
        <x:v>3.6302415254237292</x:v>
      </x:c>
      <x:c r="V8" s="7"/>
      <x:c r="W8" s="7"/>
    </x:row>
    <x:row r="9" ht="23" customHeight="1">
      <x:c r="A9" s="1" t="n">
        <x:v>3</x:v>
      </x:c>
      <x:c r="B9" s="17" t="n">
        <x:f>'Допущения'!C44*'Допущения'!D44</x:f>
        <x:v>0.6610169491525424</x:v>
      </x:c>
      <x:c r="C9" s="9" t="n">
        <x:f>'Допущения'!C31*'Допущения'!$B$8*'Допущения'!D31*$B9*(1+'Допущения'!$B$13)^0</x:f>
        <x:v>584296.0169491525</x:v>
      </x:c>
      <x:c r="D9" s="9" t="n">
        <x:f>'Допущения'!C32*'Допущения'!$B$8*'Допущения'!D32*$B9*(1+'Допущения'!$B$13)^0</x:f>
        <x:v>25169.674576271183</x:v>
      </x:c>
      <x:c r="E9" s="9" t="n">
        <x:f>'Допущения'!C33*'Допущения'!$B$8*'Допущения'!D33*$B9*(1+'Допущения'!$B$13)^0</x:f>
        <x:v>20974.728813559323</x:v>
      </x:c>
      <x:c r="F9" s="9" t="n">
        <x:f>'Допущения'!C34*'Допущения'!$B$8*'Допущения'!D34*$B9*(1+'Допущения'!$B$13)^0</x:f>
        <x:v>94885.67796610169</x:v>
      </x:c>
      <x:c r="G9" s="9" t="n">
        <x:f>'Допущения'!C35*'Допущения'!$B$8*'Допущения'!D35*$B9*(1+'Допущения'!$B$13)^0</x:f>
        <x:v>151018.04745762708</x:v>
      </x:c>
      <x:c r="H9" s="9" t="n">
        <x:f>'Допущения'!C36*'Допущения'!$B$8*'Допущения'!D36*$B9*(1+'Допущения'!$B$13)^0</x:f>
        <x:v>13983.152542372882</x:v>
      </x:c>
      <x:c r="I9" s="9" t="n">
        <x:f>'Допущения'!C37*'Допущения'!$B$8*'Допущения'!D37*$B9*(1+'Допущения'!$B$13)^0</x:f>
        <x:v>0</x:v>
      </x:c>
      <x:c r="J9" s="7" t="n">
        <x:f>SUM(C9:I9)</x:f>
        <x:v>890327.2983050847</x:v>
      </x:c>
      <x:c r="K9" s="9" t="n">
        <x:f>J9/(1+'Допущения'!$B$9)</x:f>
        <x:v>847930.7602905568</x:v>
      </x:c>
      <x:c r="L9" s="9" t="n">
        <x:f>C9/(1+'Допущения'!$B$9)*'Допущения'!E31+'Допущения'!C31*'Допущения'!$B$8*$B9*'Допущения'!F31*(1+'Допущения'!$B$14)^0+D9/(1+'Допущения'!$B$9)*'Допущения'!E32+'Допущения'!C32*'Допущения'!$B$8*$B9*'Допущения'!F32*(1+'Допущения'!$B$14)^0+E9/(1+'Допущения'!$B$9)*'Допущения'!E33+'Допущения'!C33*'Допущения'!$B$8*$B9*'Допущения'!F33*(1+'Допущения'!$B$14)^0+F9/(1+'Допущения'!$B$9)*'Допущения'!E34+'Допущения'!C34*'Допущения'!$B$8*$B9*'Допущения'!F34*(1+'Допущения'!$B$14)^0+G9/(1+'Допущения'!$B$9)*'Допущения'!E35+'Допущения'!C35*'Допущения'!$B$8*$B9*'Допущения'!F35*(1+'Допущения'!$B$14)^0+H9/(1+'Допущения'!$B$9)*'Допущения'!E36+'Допущения'!C36*'Допущения'!$B$8*$B9*'Допущения'!F36*(1+'Допущения'!$B$14)^0+I9/(1+'Допущения'!$B$9)*'Допущения'!E37+'Допущения'!C37*'Допущения'!$B$8*$B9*'Допущения'!F37*(1+'Допущения'!$B$14)^0</x:f>
        <x:v>93249.55399515736</x:v>
      </x:c>
      <x:c r="M9" s="9" t="n">
        <x:f>J9*'Допущения'!$B$11</x:f>
        <x:v>17806.545966101694</x:v>
      </x:c>
      <x:c r="N9" s="9" t="n">
        <x:f>'Инвестиции'!$C$35*(1+'Допущения'!$B$14)^0</x:f>
        <x:v>541822.2266666667</x:v>
      </x:c>
      <x:c r="O9" s="9" t="n">
        <x:f>K9*'Допущения'!$B$10</x:f>
        <x:v>50875.845617433406</x:v>
      </x:c>
      <x:c r="P9" s="9" t="n">
        <x:f>K9*'Допущения'!$B$12</x:f>
        <x:v>16958.615205811137</x:v>
      </x:c>
      <x:c r="Q9" s="7" t="n">
        <x:f>K9-L9-M9-N9</x:f>
        <x:v>195052.43366263108</x:v>
      </x:c>
      <x:c r="R9" s="7" t="n">
        <x:f>Q9-O9-P9</x:f>
        <x:v>127217.97283938655</x:v>
      </x:c>
      <x:c r="S9" s="7" t="n">
        <x:f>S8+R9</x:f>
        <x:v>-6075294.911308959</x:v>
      </x:c>
      <x:c r="T9" s="7" t="n">
        <x:f>IF(S9&gt;=0,A9,999)</x:f>
        <x:v>999</x:v>
      </x:c>
      <x:c r="U9" s="22" t="n">
        <x:f>'Допущения'!C31*'Допущения'!$B$8*B9*'Допущения'!$B$17/'Допущения'!$B$18/'Допущения'!$B$16</x:f>
        <x:v>4.0859861325115565</x:v>
      </x:c>
      <x:c r="V9" s="7"/>
      <x:c r="W9" s="7"/>
    </x:row>
    <x:row r="10" ht="23" customHeight="1">
      <x:c r="A10" s="1" t="n">
        <x:v>4</x:v>
      </x:c>
      <x:c r="B10" s="17" t="n">
        <x:f>'Допущения'!C45*'Допущения'!D45</x:f>
        <x:v>0.6864406779661016</x:v>
      </x:c>
      <x:c r="C10" s="9" t="n">
        <x:f>'Допущения'!C31*'Допущения'!$B$8*'Допущения'!D31*$B10*(1+'Допущения'!$B$13)^0</x:f>
        <x:v>606768.940677966</x:v>
      </x:c>
      <x:c r="D10" s="9" t="n">
        <x:f>'Допущения'!C32*'Допущения'!$B$8*'Допущения'!D32*$B10*(1+'Допущения'!$B$13)^0</x:f>
        <x:v>26137.738983050844</x:v>
      </x:c>
      <x:c r="E10" s="9" t="n">
        <x:f>'Допущения'!C33*'Допущения'!$B$8*'Допущения'!D33*$B10*(1+'Допущения'!$B$13)^0</x:f>
        <x:v>21781.449152542373</x:v>
      </x:c>
      <x:c r="F10" s="9" t="n">
        <x:f>'Допущения'!C34*'Допущения'!$B$8*'Допущения'!D34*$B10*(1+'Допущения'!$B$13)^0</x:f>
        <x:v>98535.12711864406</x:v>
      </x:c>
      <x:c r="G10" s="9" t="n">
        <x:f>'Допущения'!C35*'Допущения'!$B$8*'Допущения'!D35*$B10*(1+'Допущения'!$B$13)^0</x:f>
        <x:v>156826.43389830505</x:v>
      </x:c>
      <x:c r="H10" s="9" t="n">
        <x:f>'Допущения'!C36*'Допущения'!$B$8*'Допущения'!D36*$B10*(1+'Допущения'!$B$13)^0</x:f>
        <x:v>14520.966101694914</x:v>
      </x:c>
      <x:c r="I10" s="9" t="n">
        <x:f>'Допущения'!C37*'Допущения'!$B$8*'Допущения'!D37*$B10*(1+'Допущения'!$B$13)^0</x:f>
        <x:v>0</x:v>
      </x:c>
      <x:c r="J10" s="7" t="n">
        <x:f>SUM(C10:I10)</x:f>
        <x:v>924570.6559322033</x:v>
      </x:c>
      <x:c r="K10" s="9" t="n">
        <x:f>J10/(1+'Допущения'!$B$9)</x:f>
        <x:v>880543.4818401936</x:v>
      </x:c>
      <x:c r="L10" s="9" t="n">
        <x:f>C10/(1+'Допущения'!$B$9)*'Допущения'!E31+'Допущения'!C31*'Допущения'!$B$8*$B10*'Допущения'!F31*(1+'Допущения'!$B$14)^0+D10/(1+'Допущения'!$B$9)*'Допущения'!E32+'Допущения'!C32*'Допущения'!$B$8*$B10*'Допущения'!F32*(1+'Допущения'!$B$14)^0+E10/(1+'Допущения'!$B$9)*'Допущения'!E33+'Допущения'!C33*'Допущения'!$B$8*$B10*'Допущения'!F33*(1+'Допущения'!$B$14)^0+F10/(1+'Допущения'!$B$9)*'Допущения'!E34+'Допущения'!C34*'Допущения'!$B$8*$B10*'Допущения'!F34*(1+'Допущения'!$B$14)^0+G10/(1+'Допущения'!$B$9)*'Допущения'!E35+'Допущения'!C35*'Допущения'!$B$8*$B10*'Допущения'!F35*(1+'Допущения'!$B$14)^0+H10/(1+'Допущения'!$B$9)*'Допущения'!E36+'Допущения'!C36*'Допущения'!$B$8*$B10*'Допущения'!F36*(1+'Допущения'!$B$14)^0+I10/(1+'Допущения'!$B$9)*'Допущения'!E37+'Допущения'!C37*'Допущения'!$B$8*$B10*'Допущения'!F37*(1+'Допущения'!$B$14)^0</x:f>
        <x:v>96836.07530266343</x:v>
      </x:c>
      <x:c r="M10" s="9" t="n">
        <x:f>J10*'Допущения'!$B$11</x:f>
        <x:v>18491.413118644065</x:v>
      </x:c>
      <x:c r="N10" s="9" t="n">
        <x:f>'Инвестиции'!$C$35*(1+'Допущения'!$B$14)^0</x:f>
        <x:v>541822.2266666667</x:v>
      </x:c>
      <x:c r="O10" s="9" t="n">
        <x:f>K10*'Допущения'!$B$10</x:f>
        <x:v>52832.60891041162</x:v>
      </x:c>
      <x:c r="P10" s="9" t="n">
        <x:f>K10*'Допущения'!$B$12</x:f>
        <x:v>17610.869636803873</x:v>
      </x:c>
      <x:c r="Q10" s="7" t="n">
        <x:f>K10-L10-M10-N10</x:f>
        <x:v>223393.76675221953</x:v>
      </x:c>
      <x:c r="R10" s="7" t="n">
        <x:f>Q10-O10-P10</x:f>
        <x:v>152950.28820500404</x:v>
      </x:c>
      <x:c r="S10" s="7" t="n">
        <x:f>S9+R10</x:f>
        <x:v>-5922344.623103955</x:v>
      </x:c>
      <x:c r="T10" s="7" t="n">
        <x:f>IF(S10&gt;=0,A10,999)</x:f>
        <x:v>999</x:v>
      </x:c>
      <x:c r="U10" s="22" t="n">
        <x:f>'Допущения'!C31*'Допущения'!$B$8*B10*'Допущения'!$B$17/'Допущения'!$B$18/'Допущения'!$B$16</x:f>
        <x:v>4.243139445300462</x:v>
      </x:c>
      <x:c r="V10" s="7"/>
      <x:c r="W10" s="7"/>
    </x:row>
    <x:row r="11" ht="23" customHeight="1">
      <x:c r="A11" s="1" t="n">
        <x:v>5</x:v>
      </x:c>
      <x:c r="B11" s="17" t="n">
        <x:f>'Допущения'!C46*'Допущения'!D46</x:f>
        <x:v>0.7347457627118643</x:v>
      </x:c>
      <x:c r="C11" s="9" t="n">
        <x:f>'Допущения'!C31*'Допущения'!$B$8*'Допущения'!D31*$B11*(1+'Допущения'!$B$13)^0</x:f>
        <x:v>649467.4957627117</x:v>
      </x:c>
      <x:c r="D11" s="9" t="n">
        <x:f>'Допущения'!C32*'Допущения'!$B$8*'Допущения'!D32*$B11*(1+'Допущения'!$B$13)^0</x:f>
        <x:v>27977.061355932197</x:v>
      </x:c>
      <x:c r="E11" s="9" t="n">
        <x:f>'Допущения'!C33*'Допущения'!$B$8*'Допущения'!D33*$B11*(1+'Допущения'!$B$13)^0</x:f>
        <x:v>23314.217796610166</x:v>
      </x:c>
      <x:c r="F11" s="9" t="n">
        <x:f>'Допущения'!C34*'Допущения'!$B$8*'Допущения'!D34*$B11*(1+'Допущения'!$B$13)^0</x:f>
        <x:v>105469.08050847457</x:v>
      </x:c>
      <x:c r="G11" s="9" t="n">
        <x:f>'Допущения'!C35*'Допущения'!$B$8*'Допущения'!D35*$B11*(1+'Допущения'!$B$13)^0</x:f>
        <x:v>167862.36813559316</x:v>
      </x:c>
      <x:c r="H11" s="9" t="n">
        <x:f>'Допущения'!C36*'Допущения'!$B$8*'Допущения'!D36*$B11*(1+'Допущения'!$B$13)^0</x:f>
        <x:v>15542.811864406778</x:v>
      </x:c>
      <x:c r="I11" s="9" t="n">
        <x:f>'Допущения'!C37*'Допущения'!$B$8*'Допущения'!D37*$B11*(1+'Допущения'!$B$13)^0</x:f>
        <x:v>0</x:v>
      </x:c>
      <x:c r="J11" s="7" t="n">
        <x:f>SUM(C11:I11)</x:f>
        <x:v>989633.0354237286</x:v>
      </x:c>
      <x:c r="K11" s="9" t="n">
        <x:f>J11/(1+'Допущения'!$B$9)</x:f>
        <x:v>942507.6527845034</x:v>
      </x:c>
      <x:c r="L11" s="9" t="n">
        <x:f>C11/(1+'Допущения'!$B$9)*'Допущения'!E31+'Допущения'!C31*'Допущения'!$B$8*$B11*'Допущения'!F31*(1+'Допущения'!$B$14)^0+D11/(1+'Допущения'!$B$9)*'Допущения'!E32+'Допущения'!C32*'Допущения'!$B$8*$B11*'Допущения'!F32*(1+'Допущения'!$B$14)^0+E11/(1+'Допущения'!$B$9)*'Допущения'!E33+'Допущения'!C33*'Допущения'!$B$8*$B11*'Допущения'!F33*(1+'Допущения'!$B$14)^0+F11/(1+'Допущения'!$B$9)*'Допущения'!E34+'Допущения'!C34*'Допущения'!$B$8*$B11*'Допущения'!F34*(1+'Допущения'!$B$14)^0+G11/(1+'Допущения'!$B$9)*'Допущения'!E35+'Допущения'!C35*'Допущения'!$B$8*$B11*'Допущения'!F35*(1+'Допущения'!$B$14)^0+H11/(1+'Допущения'!$B$9)*'Допущения'!E36+'Допущения'!C36*'Допущения'!$B$8*$B11*'Допущения'!F36*(1+'Допущения'!$B$14)^0+I11/(1+'Допущения'!$B$9)*'Допущения'!E37+'Допущения'!C37*'Допущения'!$B$8*$B11*'Допущения'!F37*(1+'Допущения'!$B$14)^0</x:f>
        <x:v>103650.4657869249</x:v>
      </x:c>
      <x:c r="M11" s="9" t="n">
        <x:f>J11*'Допущения'!$B$11</x:f>
        <x:v>19792.660708474574</x:v>
      </x:c>
      <x:c r="N11" s="9" t="n">
        <x:f>'Инвестиции'!$C$35*(1+'Допущения'!$B$14)^0</x:f>
        <x:v>541822.2266666667</x:v>
      </x:c>
      <x:c r="O11" s="9" t="n">
        <x:f>K11*'Допущения'!$B$10</x:f>
        <x:v>56550.4591670702</x:v>
      </x:c>
      <x:c r="P11" s="9" t="n">
        <x:f>K11*'Допущения'!$B$12</x:f>
        <x:v>18850.15305569007</x:v>
      </x:c>
      <x:c r="Q11" s="7" t="n">
        <x:f>K11-L11-M11-N11</x:f>
        <x:v>277242.2996224372</x:v>
      </x:c>
      <x:c r="R11" s="7" t="n">
        <x:f>Q11-O11-P11</x:f>
        <x:v>201841.68739967694</x:v>
      </x:c>
      <x:c r="S11" s="7" t="n">
        <x:f>S10+R11</x:f>
        <x:v>-5720502.935704278</x:v>
      </x:c>
      <x:c r="T11" s="7" t="n">
        <x:f>IF(S11&gt;=0,A11,999)</x:f>
        <x:v>999</x:v>
      </x:c>
      <x:c r="U11" s="22" t="n">
        <x:f>'Допущения'!C31*'Допущения'!$B$8*B11*'Допущения'!$B$17/'Допущения'!$B$18/'Допущения'!$B$16</x:f>
        <x:v>4.541730739599383</x:v>
      </x:c>
      <x:c r="V11" s="7"/>
      <x:c r="W11" s="7"/>
    </x:row>
    <x:row r="12" ht="23" customHeight="1">
      <x:c r="A12" s="1" t="n">
        <x:v>6</x:v>
      </x:c>
      <x:c r="B12" s="17" t="n">
        <x:f>'Допущения'!C47*'Допущения'!D47</x:f>
        <x:v>0.6406779661016948</x:v>
      </x:c>
      <x:c r="C12" s="9" t="n">
        <x:f>'Допущения'!C31*'Допущения'!$B$8*'Допущения'!D31*$B12*(1+'Допущения'!$B$13)^0</x:f>
        <x:v>566317.6779661016</x:v>
      </x:c>
      <x:c r="D12" s="9" t="n">
        <x:f>'Допущения'!C32*'Допущения'!$B$8*'Допущения'!D32*$B12*(1+'Допущения'!$B$13)^0</x:f>
        <x:v>24395.223050847453</x:v>
      </x:c>
      <x:c r="E12" s="9" t="n">
        <x:f>'Допущения'!C33*'Допущения'!$B$8*'Допущения'!D33*$B12*(1+'Допущения'!$B$13)^0</x:f>
        <x:v>20329.35254237288</x:v>
      </x:c>
      <x:c r="F12" s="9" t="n">
        <x:f>'Допущения'!C34*'Допущения'!$B$8*'Допущения'!D34*$B12*(1+'Допущения'!$B$13)^0</x:f>
        <x:v>91966.11864406778</x:v>
      </x:c>
      <x:c r="G12" s="9" t="n">
        <x:f>'Допущения'!C35*'Допущения'!$B$8*'Допущения'!D35*$B12*(1+'Допущения'!$B$13)^0</x:f>
        <x:v>146371.3383050847</x:v>
      </x:c>
      <x:c r="H12" s="9" t="n">
        <x:f>'Допущения'!C36*'Допущения'!$B$8*'Допущения'!D36*$B12*(1+'Допущения'!$B$13)^0</x:f>
        <x:v>13552.901694915252</x:v>
      </x:c>
      <x:c r="I12" s="9" t="n">
        <x:f>'Допущения'!C37*'Допущения'!$B$8*'Допущения'!D37*$B12*(1+'Допущения'!$B$13)^0</x:f>
        <x:v>0</x:v>
      </x:c>
      <x:c r="J12" s="7" t="n">
        <x:f>SUM(C12:I12)</x:f>
        <x:v>862932.6122033896</x:v>
      </x:c>
      <x:c r="K12" s="9" t="n">
        <x:f>J12/(1+'Допущения'!$B$9)</x:f>
        <x:v>821840.5830508473</x:v>
      </x:c>
      <x:c r="L12" s="9" t="n">
        <x:f>C12/(1+'Допущения'!$B$9)*'Допущения'!E31+'Допущения'!C31*'Допущения'!$B$8*$B12*'Допущения'!F31*(1+'Допущения'!$B$14)^0+D12/(1+'Допущения'!$B$9)*'Допущения'!E32+'Допущения'!C32*'Допущения'!$B$8*$B12*'Допущения'!F32*(1+'Допущения'!$B$14)^0+E12/(1+'Допущения'!$B$9)*'Допущения'!E33+'Допущения'!C33*'Допущения'!$B$8*$B12*'Допущения'!F33*(1+'Допущения'!$B$14)^0+F12/(1+'Допущения'!$B$9)*'Допущения'!E34+'Допущения'!C34*'Допущения'!$B$8*$B12*'Допущения'!F34*(1+'Допущения'!$B$14)^0+G12/(1+'Допущения'!$B$9)*'Допущения'!E35+'Допущения'!C35*'Допущения'!$B$8*$B12*'Допущения'!F35*(1+'Допущения'!$B$14)^0+H12/(1+'Допущения'!$B$9)*'Допущения'!E36+'Допущения'!C36*'Допущения'!$B$8*$B12*'Допущения'!F36*(1+'Допущения'!$B$14)^0+I12/(1+'Допущения'!$B$9)*'Допущения'!E37+'Допущения'!C37*'Допущения'!$B$8*$B12*'Допущения'!F37*(1+'Допущения'!$B$14)^0</x:f>
        <x:v>90380.33694915251</x:v>
      </x:c>
      <x:c r="M12" s="9" t="n">
        <x:f>J12*'Допущения'!$B$11</x:f>
        <x:v>17258.652244067795</x:v>
      </x:c>
      <x:c r="N12" s="9" t="n">
        <x:f>'Инвестиции'!$C$35*(1+'Допущения'!$B$14)^0</x:f>
        <x:v>541822.2266666667</x:v>
      </x:c>
      <x:c r="O12" s="9" t="n">
        <x:f>K12*'Допущения'!$B$10</x:f>
        <x:v>49310.434983050836</x:v>
      </x:c>
      <x:c r="P12" s="9" t="n">
        <x:f>K12*'Допущения'!$B$12</x:f>
        <x:v>16436.811661016945</x:v>
      </x:c>
      <x:c r="Q12" s="7" t="n">
        <x:f>K12-L12-M12-N12</x:f>
        <x:v>172379.36719096033</x:v>
      </x:c>
      <x:c r="R12" s="7" t="n">
        <x:f>Q12-O12-P12</x:f>
        <x:v>106632.12054689255</x:v>
      </x:c>
      <x:c r="S12" s="7" t="n">
        <x:f>S11+R12</x:f>
        <x:v>-5613870.815157386</x:v>
      </x:c>
      <x:c r="T12" s="7" t="n">
        <x:f>IF(S12&gt;=0,A12,999)</x:f>
        <x:v>999</x:v>
      </x:c>
      <x:c r="U12" s="22" t="n">
        <x:f>'Допущения'!C31*'Допущения'!$B$8*B12*'Допущения'!$B$17/'Допущения'!$B$18/'Допущения'!$B$16</x:f>
        <x:v>3.9602634822804306</x:v>
      </x:c>
      <x:c r="V12" s="7"/>
      <x:c r="W12" s="7"/>
    </x:row>
    <x:row r="13" ht="23" customHeight="1">
      <x:c r="A13" s="1" t="n">
        <x:v>7</x:v>
      </x:c>
      <x:c r="B13" s="17" t="n">
        <x:f>'Допущения'!C48*'Допущения'!D48</x:f>
        <x:v>0.7245762711864406</x:v>
      </x:c>
      <x:c r="C13" s="9" t="n">
        <x:f>'Допущения'!C31*'Допущения'!$B$8*'Допущения'!D31*$B13*(1+'Допущения'!$B$13)^0</x:f>
        <x:v>640478.3262711863</x:v>
      </x:c>
      <x:c r="D13" s="9" t="n">
        <x:f>'Допущения'!C32*'Допущения'!$B$8*'Допущения'!D32*$B13*(1+'Допущения'!$B$13)^0</x:f>
        <x:v>27589.835593220334</x:v>
      </x:c>
      <x:c r="E13" s="9" t="n">
        <x:f>'Допущения'!C33*'Допущения'!$B$8*'Допущения'!D33*$B13*(1+'Допущения'!$B$13)^0</x:f>
        <x:v>22991.529661016946</x:v>
      </x:c>
      <x:c r="F13" s="9" t="n">
        <x:f>'Допущения'!C34*'Допущения'!$B$8*'Допущения'!D34*$B13*(1+'Допущения'!$B$13)^0</x:f>
        <x:v>104009.30084745762</x:v>
      </x:c>
      <x:c r="G13" s="9" t="n">
        <x:f>'Допущения'!C35*'Допущения'!$B$8*'Допущения'!D35*$B13*(1+'Допущения'!$B$13)^0</x:f>
        <x:v>165539.013559322</x:v>
      </x:c>
      <x:c r="H13" s="9" t="n">
        <x:f>'Допущения'!C36*'Допущения'!$B$8*'Допущения'!D36*$B13*(1+'Допущения'!$B$13)^0</x:f>
        <x:v>15327.686440677966</x:v>
      </x:c>
      <x:c r="I13" s="9" t="n">
        <x:f>'Допущения'!C37*'Допущения'!$B$8*'Допущения'!D37*$B13*(1+'Допущения'!$B$13)^0</x:f>
        <x:v>0</x:v>
      </x:c>
      <x:c r="J13" s="7" t="n">
        <x:f>SUM(C13:I13)</x:f>
        <x:v>975935.6923728812</x:v>
      </x:c>
      <x:c r="K13" s="9" t="n">
        <x:f>J13/(1+'Допущения'!$B$9)</x:f>
        <x:v>929462.5641646488</x:v>
      </x:c>
      <x:c r="L13" s="9" t="n">
        <x:f>C13/(1+'Допущения'!$B$9)*'Допущения'!E31+'Допущения'!C31*'Допущения'!$B$8*$B13*'Допущения'!F31*(1+'Допущения'!$B$14)^0+D13/(1+'Допущения'!$B$9)*'Допущения'!E32+'Допущения'!C32*'Допущения'!$B$8*$B13*'Допущения'!F32*(1+'Допущения'!$B$14)^0+E13/(1+'Допущения'!$B$9)*'Допущения'!E33+'Допущения'!C33*'Допущения'!$B$8*$B13*'Допущения'!F33*(1+'Допущения'!$B$14)^0+F13/(1+'Допущения'!$B$9)*'Допущения'!E34+'Допущения'!C34*'Допущения'!$B$8*$B13*'Допущения'!F34*(1+'Допущения'!$B$14)^0+G13/(1+'Допущения'!$B$9)*'Допущения'!E35+'Допущения'!C35*'Допущения'!$B$8*$B13*'Допущения'!F35*(1+'Допущения'!$B$14)^0+H13/(1+'Допущения'!$B$9)*'Допущения'!E36+'Допущения'!C36*'Допущения'!$B$8*$B13*'Допущения'!F36*(1+'Допущения'!$B$14)^0+I13/(1+'Допущения'!$B$9)*'Допущения'!E37+'Допущения'!C37*'Допущения'!$B$8*$B13*'Допущения'!F37*(1+'Допущения'!$B$14)^0</x:f>
        <x:v>102215.85726392249</x:v>
      </x:c>
      <x:c r="M13" s="9" t="n">
        <x:f>J13*'Допущения'!$B$11</x:f>
        <x:v>19518.713847457624</x:v>
      </x:c>
      <x:c r="N13" s="9" t="n">
        <x:f>'Инвестиции'!$C$35*(1+'Допущения'!$B$14)^0</x:f>
        <x:v>541822.2266666667</x:v>
      </x:c>
      <x:c r="O13" s="9" t="n">
        <x:f>K13*'Допущения'!$B$10</x:f>
        <x:v>55767.75384987892</x:v>
      </x:c>
      <x:c r="P13" s="9" t="n">
        <x:f>K13*'Допущения'!$B$12</x:f>
        <x:v>18589.251283292975</x:v>
      </x:c>
      <x:c r="Q13" s="7" t="n">
        <x:f>K13-L13-M13-N13</x:f>
        <x:v>265905.76638660196</x:v>
      </x:c>
      <x:c r="R13" s="7" t="n">
        <x:f>Q13-O13-P13</x:f>
        <x:v>191548.76125343007</x:v>
      </x:c>
      <x:c r="S13" s="7" t="n">
        <x:f>S12+R13</x:f>
        <x:v>-5422322.053903955</x:v>
      </x:c>
      <x:c r="T13" s="7" t="n">
        <x:f>IF(S13&gt;=0,A13,999)</x:f>
        <x:v>999</x:v>
      </x:c>
      <x:c r="U13" s="22" t="n">
        <x:f>'Допущения'!C31*'Допущения'!$B$8*B13*'Допущения'!$B$17/'Допущения'!$B$18/'Допущения'!$B$16</x:f>
        <x:v>4.478869414483821</x:v>
      </x:c>
      <x:c r="V13" s="7"/>
      <x:c r="W13" s="7"/>
    </x:row>
    <x:row r="14" ht="23" customHeight="1">
      <x:c r="A14" s="1" t="n">
        <x:v>8</x:v>
      </x:c>
      <x:c r="B14" s="17" t="n">
        <x:f>'Допущения'!C49*'Допущения'!D49</x:f>
        <x:v>0.8135593220338982</x:v>
      </x:c>
      <x:c r="C14" s="9" t="n">
        <x:f>'Допущения'!C31*'Допущения'!$B$8*'Допущения'!D31*$B14*(1+'Допущения'!$B$13)^0</x:f>
        <x:v>719133.5593220338</x:v>
      </x:c>
      <x:c r="D14" s="9" t="n">
        <x:f>'Допущения'!C32*'Допущения'!$B$8*'Допущения'!D32*$B14*(1+'Допущения'!$B$13)^0</x:f>
        <x:v>30978.06101694915</x:v>
      </x:c>
      <x:c r="E14" s="9" t="n">
        <x:f>'Допущения'!C33*'Допущения'!$B$8*'Допущения'!D33*$B14*(1+'Допущения'!$B$13)^0</x:f>
        <x:v>25815.050847457624</x:v>
      </x:c>
      <x:c r="F14" s="9" t="n">
        <x:f>'Допущения'!C34*'Допущения'!$B$8*'Допущения'!D34*$B14*(1+'Допущения'!$B$13)^0</x:f>
        <x:v>116782.37288135593</x:v>
      </x:c>
      <x:c r="G14" s="9" t="n">
        <x:f>'Допущения'!C35*'Допущения'!$B$8*'Допущения'!D35*$B14*(1+'Допущения'!$B$13)^0</x:f>
        <x:v>185868.36610169488</x:v>
      </x:c>
      <x:c r="H14" s="9" t="n">
        <x:f>'Допущения'!C36*'Допущения'!$B$8*'Допущения'!D36*$B14*(1+'Допущения'!$B$13)^0</x:f>
        <x:v>17210.033898305082</x:v>
      </x:c>
      <x:c r="I14" s="9" t="n">
        <x:f>'Допущения'!C37*'Допущения'!$B$8*'Допущения'!D37*$B14*(1+'Допущения'!$B$13)^0</x:f>
        <x:v>0</x:v>
      </x:c>
      <x:c r="J14" s="7" t="n">
        <x:f>SUM(C14:I14)</x:f>
        <x:v>1095787.4440677965</x:v>
      </x:c>
      <x:c r="K14" s="9" t="n">
        <x:f>J14/(1+'Допущения'!$B$9)</x:f>
        <x:v>1043607.0895883775</x:v>
      </x:c>
      <x:c r="L14" s="9" t="n">
        <x:f>C14/(1+'Допущения'!$B$9)*'Допущения'!E31+'Допущения'!C31*'Допущения'!$B$8*$B14*'Допущения'!F31*(1+'Допущения'!$B$14)^0+D14/(1+'Допущения'!$B$9)*'Допущения'!E32+'Допущения'!C32*'Допущения'!$B$8*$B14*'Допущения'!F32*(1+'Допущения'!$B$14)^0+E14/(1+'Допущения'!$B$9)*'Допущения'!E33+'Допущения'!C33*'Допущения'!$B$8*$B14*'Допущения'!F33*(1+'Допущения'!$B$14)^0+F14/(1+'Допущения'!$B$9)*'Допущения'!E34+'Допущения'!C34*'Допущения'!$B$8*$B14*'Допущения'!F34*(1+'Допущения'!$B$14)^0+G14/(1+'Допущения'!$B$9)*'Допущения'!E35+'Допущения'!C35*'Допущения'!$B$8*$B14*'Допущения'!F35*(1+'Допущения'!$B$14)^0+H14/(1+'Допущения'!$B$9)*'Допущения'!E36+'Допущения'!C36*'Допущения'!$B$8*$B14*'Допущения'!F36*(1+'Допущения'!$B$14)^0+I14/(1+'Допущения'!$B$9)*'Допущения'!E37+'Допущения'!C37*'Допущения'!$B$8*$B14*'Допущения'!F37*(1+'Допущения'!$B$14)^0</x:f>
        <x:v>114768.68184019366</x:v>
      </x:c>
      <x:c r="M14" s="9" t="n">
        <x:f>J14*'Допущения'!$B$11</x:f>
        <x:v>21915.74888135593</x:v>
      </x:c>
      <x:c r="N14" s="9" t="n">
        <x:f>'Инвестиции'!$C$35*(1+'Допущения'!$B$14)^0</x:f>
        <x:v>541822.2266666667</x:v>
      </x:c>
      <x:c r="O14" s="9" t="n">
        <x:f>K14*'Допущения'!$B$10</x:f>
        <x:v>62616.42537530265</x:v>
      </x:c>
      <x:c r="P14" s="9" t="n">
        <x:f>K14*'Допущения'!$B$12</x:f>
        <x:v>20872.14179176755</x:v>
      </x:c>
      <x:c r="Q14" s="7" t="n">
        <x:f>K14-L14-M14-N14</x:f>
        <x:v>365100.43220016116</x:v>
      </x:c>
      <x:c r="R14" s="7" t="n">
        <x:f>Q14-O14-P14</x:f>
        <x:v>281611.86503309093</x:v>
      </x:c>
      <x:c r="S14" s="7" t="n">
        <x:f>S13+R14</x:f>
        <x:v>-5140710.188870864</x:v>
      </x:c>
      <x:c r="T14" s="7" t="n">
        <x:f>IF(S14&gt;=0,A14,999)</x:f>
        <x:v>999</x:v>
      </x:c>
      <x:c r="U14" s="22" t="n">
        <x:f>'Допущения'!C31*'Допущения'!$B$8*B14*'Допущения'!$B$17/'Допущения'!$B$18/'Допущения'!$B$16</x:f>
        <x:v>5.028906009244991</x:v>
      </x:c>
      <x:c r="V14" s="7"/>
      <x:c r="W14" s="7"/>
    </x:row>
    <x:row r="15" ht="23" customHeight="1">
      <x:c r="A15" s="1" t="n">
        <x:v>9</x:v>
      </x:c>
      <x:c r="B15" s="17" t="n">
        <x:f>'Допущения'!C50*'Допущения'!D50</x:f>
        <x:v>1.0677966101694916</x:v>
      </x:c>
      <x:c r="C15" s="9" t="n">
        <x:f>'Допущения'!C31*'Допущения'!$B$8*'Допущения'!D31*$B15*(1+'Допущения'!$B$13)^0</x:f>
        <x:v>943862.7966101695</x:v>
      </x:c>
      <x:c r="D15" s="9" t="n">
        <x:f>'Допущения'!C32*'Допущения'!$B$8*'Допущения'!D32*$B15*(1+'Допущения'!$B$13)^0</x:f>
        <x:v>40658.70508474576</x:v>
      </x:c>
      <x:c r="E15" s="9" t="n">
        <x:f>'Допущения'!C33*'Допущения'!$B$8*'Допущения'!D33*$B15*(1+'Допущения'!$B$13)^0</x:f>
        <x:v>33882.254237288136</x:v>
      </x:c>
      <x:c r="F15" s="9" t="n">
        <x:f>'Допущения'!C34*'Допущения'!$B$8*'Допущения'!D34*$B15*(1+'Допущения'!$B$13)^0</x:f>
        <x:v>153276.86440677967</x:v>
      </x:c>
      <x:c r="G15" s="9" t="n">
        <x:f>'Допущения'!C35*'Допущения'!$B$8*'Допущения'!D35*$B15*(1+'Допущения'!$B$13)^0</x:f>
        <x:v>243952.23050847455</x:v>
      </x:c>
      <x:c r="H15" s="9" t="n">
        <x:f>'Допущения'!C36*'Допущения'!$B$8*'Допущения'!D36*$B15*(1+'Допущения'!$B$13)^0</x:f>
        <x:v>22588.169491525423</x:v>
      </x:c>
      <x:c r="I15" s="9" t="n">
        <x:f>'Допущения'!C37*'Допущения'!$B$8*'Допущения'!D37*$B15*(1+'Допущения'!$B$13)^0</x:f>
        <x:v>0</x:v>
      </x:c>
      <x:c r="J15" s="7" t="n">
        <x:f>SUM(C15:I15)</x:f>
        <x:v>1438221.0203389833</x:v>
      </x:c>
      <x:c r="K15" s="9" t="n">
        <x:f>J15/(1+'Допущения'!$B$9)</x:f>
        <x:v>1369734.3050847459</x:v>
      </x:c>
      <x:c r="L15" s="9" t="n">
        <x:f>C15/(1+'Допущения'!$B$9)*'Допущения'!E31+'Допущения'!C31*'Допущения'!$B$8*$B15*'Допущения'!F31*(1+'Допущения'!$B$14)^0+D15/(1+'Допущения'!$B$9)*'Допущения'!E32+'Допущения'!C32*'Допущения'!$B$8*$B15*'Допущения'!F32*(1+'Допущения'!$B$14)^0+E15/(1+'Допущения'!$B$9)*'Допущения'!E33+'Допущения'!C33*'Допущения'!$B$8*$B15*'Допущения'!F33*(1+'Допущения'!$B$14)^0+F15/(1+'Допущения'!$B$9)*'Допущения'!E34+'Допущения'!C34*'Допущения'!$B$8*$B15*'Допущения'!F34*(1+'Допущения'!$B$14)^0+G15/(1+'Допущения'!$B$9)*'Допущения'!E35+'Допущения'!C35*'Допущения'!$B$8*$B15*'Допущения'!F35*(1+'Допущения'!$B$14)^0+H15/(1+'Допущения'!$B$9)*'Допущения'!E36+'Допущения'!C36*'Допущения'!$B$8*$B15*'Допущения'!F36*(1+'Допущения'!$B$14)^0+I15/(1+'Допущения'!$B$9)*'Допущения'!E37+'Допущения'!C37*'Допущения'!$B$8*$B15*'Допущения'!F37*(1+'Допущения'!$B$14)^0</x:f>
        <x:v>150633.8949152542</x:v>
      </x:c>
      <x:c r="M15" s="9" t="n">
        <x:f>J15*'Допущения'!$B$11</x:f>
        <x:v>28764.420406779667</x:v>
      </x:c>
      <x:c r="N15" s="9" t="n">
        <x:f>'Инвестиции'!$C$35*(1+'Допущения'!$B$14)^0</x:f>
        <x:v>541822.2266666667</x:v>
      </x:c>
      <x:c r="O15" s="9" t="n">
        <x:f>K15*'Допущения'!$B$10</x:f>
        <x:v>82184.05830508475</x:v>
      </x:c>
      <x:c r="P15" s="9" t="n">
        <x:f>K15*'Допущения'!$B$12</x:f>
        <x:v>27394.68610169492</x:v>
      </x:c>
      <x:c r="Q15" s="7" t="n">
        <x:f>K15-L15-M15-N15</x:f>
        <x:v>648513.7630960451</x:v>
      </x:c>
      <x:c r="R15" s="7" t="n">
        <x:f>Q15-O15-P15</x:f>
        <x:v>538935.0186892655</x:v>
      </x:c>
      <x:c r="S15" s="7" t="n">
        <x:f>S14+R15</x:f>
        <x:v>-4601775.1701815985</x:v>
      </x:c>
      <x:c r="T15" s="7" t="n">
        <x:f>IF(S15&gt;=0,A15,999)</x:f>
        <x:v>999</x:v>
      </x:c>
      <x:c r="U15" s="22" t="n">
        <x:f>'Допущения'!C31*'Допущения'!$B$8*B15*'Допущения'!$B$17/'Допущения'!$B$18/'Допущения'!$B$16</x:f>
        <x:v>6.600439137134052</x:v>
      </x:c>
      <x:c r="V15" s="7"/>
      <x:c r="W15" s="7"/>
    </x:row>
    <x:row r="16" ht="23" customHeight="1">
      <x:c r="A16" s="1" t="n">
        <x:v>10</x:v>
      </x:c>
      <x:c r="B16" s="17" t="n">
        <x:f>'Допущения'!C51*'Допущения'!D51</x:f>
        <x:v>1.1694915254237286</x:v>
      </x:c>
      <x:c r="C16" s="9" t="n">
        <x:f>'Допущения'!C31*'Допущения'!$B$8*'Допущения'!D31*$B16*(1+'Допущения'!$B$13)^0</x:f>
        <x:v>1033754.4915254234</x:v>
      </x:c>
      <x:c r="D16" s="9" t="n">
        <x:f>'Допущения'!C32*'Допущения'!$B$8*'Допущения'!D32*$B16*(1+'Допущения'!$B$13)^0</x:f>
        <x:v>44530.96271186439</x:v>
      </x:c>
      <x:c r="E16" s="9" t="n">
        <x:f>'Допущения'!C33*'Допущения'!$B$8*'Допущения'!D33*$B16*(1+'Допущения'!$B$13)^0</x:f>
        <x:v>37109.13559322033</x:v>
      </x:c>
      <x:c r="F16" s="9" t="n">
        <x:f>'Допущения'!C34*'Допущения'!$B$8*'Допущения'!D34*$B16*(1+'Допущения'!$B$13)^0</x:f>
        <x:v>167874.66101694913</x:v>
      </x:c>
      <x:c r="G16" s="9" t="n">
        <x:f>'Допущения'!C35*'Допущения'!$B$8*'Допущения'!D35*$B16*(1+'Допущения'!$B$13)^0</x:f>
        <x:v>267185.77627118636</x:v>
      </x:c>
      <x:c r="H16" s="9" t="n">
        <x:f>'Допущения'!C36*'Допущения'!$B$8*'Допущения'!D36*$B16*(1+'Допущения'!$B$13)^0</x:f>
        <x:v>24739.423728813555</x:v>
      </x:c>
      <x:c r="I16" s="9" t="n">
        <x:f>'Допущения'!C37*'Допущения'!$B$8*'Допущения'!D37*$B16*(1+'Допущения'!$B$13)^0</x:f>
        <x:v>0</x:v>
      </x:c>
      <x:c r="J16" s="7" t="n">
        <x:f>SUM(C16:I16)</x:f>
        <x:v>1575194.4508474574</x:v>
      </x:c>
      <x:c r="K16" s="9" t="n">
        <x:f>J16/(1+'Допущения'!$B$9)</x:f>
        <x:v>1500185.1912832926</x:v>
      </x:c>
      <x:c r="L16" s="9" t="n">
        <x:f>C16/(1+'Допущения'!$B$9)*'Допущения'!E31+'Допущения'!C31*'Допущения'!$B$8*$B16*'Допущения'!F31*(1+'Допущения'!$B$14)^0+D16/(1+'Допущения'!$B$9)*'Допущения'!E32+'Допущения'!C32*'Допущения'!$B$8*$B16*'Допущения'!F32*(1+'Допущения'!$B$14)^0+E16/(1+'Допущения'!$B$9)*'Допущения'!E33+'Допущения'!C33*'Допущения'!$B$8*$B16*'Допущения'!F33*(1+'Допущения'!$B$14)^0+F16/(1+'Допущения'!$B$9)*'Допущения'!E34+'Допущения'!C34*'Допущения'!$B$8*$B16*'Допущения'!F34*(1+'Допущения'!$B$14)^0+G16/(1+'Допущения'!$B$9)*'Допущения'!E35+'Допущения'!C35*'Допущения'!$B$8*$B16*'Допущения'!F35*(1+'Допущения'!$B$14)^0+H16/(1+'Допущения'!$B$9)*'Допущения'!E36+'Допущения'!C36*'Допущения'!$B$8*$B16*'Допущения'!F36*(1+'Допущения'!$B$14)^0+I16/(1+'Допущения'!$B$9)*'Допущения'!E37+'Допущения'!C37*'Допущения'!$B$8*$B16*'Допущения'!F37*(1+'Допущения'!$B$14)^0</x:f>
        <x:v>164979.9801452784</x:v>
      </x:c>
      <x:c r="M16" s="9" t="n">
        <x:f>J16*'Допущения'!$B$11</x:f>
        <x:v>31503.88901694915</x:v>
      </x:c>
      <x:c r="N16" s="9" t="n">
        <x:f>'Инвестиции'!$C$35*(1+'Допущения'!$B$14)^0</x:f>
        <x:v>541822.2266666667</x:v>
      </x:c>
      <x:c r="O16" s="9" t="n">
        <x:f>K16*'Допущения'!$B$10</x:f>
        <x:v>90011.11147699755</x:v>
      </x:c>
      <x:c r="P16" s="9" t="n">
        <x:f>K16*'Допущения'!$B$12</x:f>
        <x:v>30003.703825665852</x:v>
      </x:c>
      <x:c r="Q16" s="7" t="n">
        <x:f>K16-L16-M16-N16</x:f>
        <x:v>761879.0954543984</x:v>
      </x:c>
      <x:c r="R16" s="7" t="n">
        <x:f>Q16-O16-P16</x:f>
        <x:v>641864.2801517351</x:v>
      </x:c>
      <x:c r="S16" s="7" t="n">
        <x:f>S15+R16</x:f>
        <x:v>-3959910.8900298635</x:v>
      </x:c>
      <x:c r="T16" s="7" t="n">
        <x:f>IF(S16&gt;=0,A16,999)</x:f>
        <x:v>999</x:v>
      </x:c>
      <x:c r="U16" s="22" t="n">
        <x:f>'Допущения'!C31*'Допущения'!$B$8*B16*'Допущения'!$B$17/'Допущения'!$B$18/'Допущения'!$B$16</x:f>
        <x:v>7.2290523882896744</x:v>
      </x:c>
      <x:c r="V16" s="7"/>
      <x:c r="W16" s="7"/>
    </x:row>
    <x:row r="17" ht="23" customHeight="1">
      <x:c r="A17" s="1" t="n">
        <x:v>11</x:v>
      </x:c>
      <x:c r="B17" s="17" t="n">
        <x:f>'Допущения'!C52*'Допущения'!D52</x:f>
        <x:v>1.2203389830508473</x:v>
      </x:c>
      <x:c r="C17" s="9" t="n">
        <x:f>'Допущения'!C31*'Допущения'!$B$8*'Допущения'!D31*$B17*(1+'Допущения'!$B$13)^0</x:f>
        <x:v>1078700.3389830505</x:v>
      </x:c>
      <x:c r="D17" s="9" t="n">
        <x:f>'Допущения'!C32*'Допущения'!$B$8*'Допущения'!D32*$B17*(1+'Допущения'!$B$13)^0</x:f>
        <x:v>46467.09152542372</x:v>
      </x:c>
      <x:c r="E17" s="9" t="n">
        <x:f>'Допущения'!C33*'Допущения'!$B$8*'Допущения'!D33*$B17*(1+'Допущения'!$B$13)^0</x:f>
        <x:v>38722.57627118644</x:v>
      </x:c>
      <x:c r="F17" s="9" t="n">
        <x:f>'Допущения'!C34*'Допущения'!$B$8*'Допущения'!D34*$B17*(1+'Допущения'!$B$13)^0</x:f>
        <x:v>175173.55932203386</x:v>
      </x:c>
      <x:c r="G17" s="9" t="n">
        <x:f>'Допущения'!C35*'Допущения'!$B$8*'Допущения'!D35*$B17*(1+'Допущения'!$B$13)^0</x:f>
        <x:v>278802.54915254225</x:v>
      </x:c>
      <x:c r="H17" s="9" t="n">
        <x:f>'Допущения'!C36*'Допущения'!$B$8*'Допущения'!D36*$B17*(1+'Допущения'!$B$13)^0</x:f>
        <x:v>25815.050847457624</x:v>
      </x:c>
      <x:c r="I17" s="9" t="n">
        <x:f>'Допущения'!C37*'Допущения'!$B$8*'Допущения'!D37*$B17*(1+'Допущения'!$B$13)^0</x:f>
        <x:v>0</x:v>
      </x:c>
      <x:c r="J17" s="7" t="n">
        <x:f>SUM(C17:I17)</x:f>
        <x:v>1643681.1661016946</x:v>
      </x:c>
      <x:c r="K17" s="9" t="n">
        <x:f>J17/(1+'Допущения'!$B$9)</x:f>
        <x:v>1565410.6343825662</x:v>
      </x:c>
      <x:c r="L17" s="9" t="n">
        <x:f>C17/(1+'Допущения'!$B$9)*'Допущения'!E31+'Допущения'!C31*'Допущения'!$B$8*$B17*'Допущения'!F31*(1+'Допущения'!$B$14)^0+D17/(1+'Допущения'!$B$9)*'Допущения'!E32+'Допущения'!C32*'Допущения'!$B$8*$B17*'Допущения'!F32*(1+'Допущения'!$B$14)^0+E17/(1+'Допущения'!$B$9)*'Допущения'!E33+'Допущения'!C33*'Допущения'!$B$8*$B17*'Допущения'!F33*(1+'Допущения'!$B$14)^0+F17/(1+'Допущения'!$B$9)*'Допущения'!E34+'Допущения'!C34*'Допущения'!$B$8*$B17*'Допущения'!F34*(1+'Допущения'!$B$14)^0+G17/(1+'Допущения'!$B$9)*'Допущения'!E35+'Допущения'!C35*'Допущения'!$B$8*$B17*'Допущения'!F35*(1+'Допущения'!$B$14)^0+H17/(1+'Допущения'!$B$9)*'Допущения'!E36+'Допущения'!C36*'Допущения'!$B$8*$B17*'Допущения'!F36*(1+'Допущения'!$B$14)^0+I17/(1+'Допущения'!$B$9)*'Допущения'!E37+'Допущения'!C37*'Допущения'!$B$8*$B17*'Допущения'!F37*(1+'Допущения'!$B$14)^0</x:f>
        <x:v>172153.02276029048</x:v>
      </x:c>
      <x:c r="M17" s="9" t="n">
        <x:f>J17*'Допущения'!$B$11</x:f>
        <x:v>32873.62332203389</x:v>
      </x:c>
      <x:c r="N17" s="9" t="n">
        <x:f>'Инвестиции'!$C$35*(1+'Допущения'!$B$14)^0</x:f>
        <x:v>541822.2266666667</x:v>
      </x:c>
      <x:c r="O17" s="9" t="n">
        <x:f>K17*'Допущения'!$B$10</x:f>
        <x:v>93924.63806295396</x:v>
      </x:c>
      <x:c r="P17" s="9" t="n">
        <x:f>K17*'Допущения'!$B$12</x:f>
        <x:v>31308.212687651325</x:v>
      </x:c>
      <x:c r="Q17" s="7" t="n">
        <x:f>K17-L17-M17-N17</x:f>
        <x:v>818561.7616335753</x:v>
      </x:c>
      <x:c r="R17" s="7" t="n">
        <x:f>Q17-O17-P17</x:f>
        <x:v>693328.9108829701</x:v>
      </x:c>
      <x:c r="S17" s="7" t="n">
        <x:f>S16+R17</x:f>
        <x:v>-3266581.979146893</x:v>
      </x:c>
      <x:c r="T17" s="7" t="n">
        <x:f>IF(S17&gt;=0,A17,999)</x:f>
        <x:v>999</x:v>
      </x:c>
      <x:c r="U17" s="22" t="n">
        <x:f>'Допущения'!C31*'Допущения'!$B$8*B17*'Допущения'!$B$17/'Допущения'!$B$18/'Допущения'!$B$16</x:f>
        <x:v>7.543359013867487</x:v>
      </x:c>
      <x:c r="V17" s="7"/>
      <x:c r="W17" s="7"/>
    </x:row>
    <x:row r="18" ht="23" customHeight="1">
      <x:c r="A18" s="1" t="n">
        <x:v>12</x:v>
      </x:c>
      <x:c r="B18" s="17" t="n">
        <x:f>'Допущения'!C53*'Допущения'!D53</x:f>
        <x:v>1.271186440677966</x:v>
      </x:c>
      <x:c r="C18" s="9" t="n">
        <x:f>'Допущения'!C31*'Допущения'!$B$8*'Допущения'!D31*$B18*(1+'Допущения'!$B$13)^0</x:f>
        <x:v>1123646.1864406778</x:v>
      </x:c>
      <x:c r="D18" s="9" t="n">
        <x:f>'Допущения'!C32*'Допущения'!$B$8*'Допущения'!D32*$B18*(1+'Допущения'!$B$13)^0</x:f>
        <x:v>48403.22033898305</x:v>
      </x:c>
      <x:c r="E18" s="9" t="n">
        <x:f>'Допущения'!C33*'Допущения'!$B$8*'Допущения'!D33*$B18*(1+'Допущения'!$B$13)^0</x:f>
        <x:v>40336.01694915254</x:v>
      </x:c>
      <x:c r="F18" s="9" t="n">
        <x:f>'Допущения'!C34*'Допущения'!$B$8*'Допущения'!D34*$B18*(1+'Допущения'!$B$13)^0</x:f>
        <x:v>182472.45762711862</x:v>
      </x:c>
      <x:c r="G18" s="9" t="n">
        <x:f>'Допущения'!C35*'Допущения'!$B$8*'Допущения'!D35*$B18*(1+'Допущения'!$B$13)^0</x:f>
        <x:v>290419.3220338982</x:v>
      </x:c>
      <x:c r="H18" s="9" t="n">
        <x:f>'Допущения'!C36*'Допущения'!$B$8*'Допущения'!D36*$B18*(1+'Допущения'!$B$13)^0</x:f>
        <x:v>26890.677966101695</x:v>
      </x:c>
      <x:c r="I18" s="9" t="n">
        <x:f>'Допущения'!C37*'Допущения'!$B$8*'Допущения'!D37*$B18*(1+'Допущения'!$B$13)^0</x:f>
        <x:v>0</x:v>
      </x:c>
      <x:c r="J18" s="7" t="n">
        <x:f>SUM(C18:I18)</x:f>
        <x:v>1712167.881355932</x:v>
      </x:c>
      <x:c r="K18" s="9" t="n">
        <x:f>J18/(1+'Допущения'!$B$9)</x:f>
        <x:v>1630636.0774818398</x:v>
      </x:c>
      <x:c r="L18" s="9" t="n">
        <x:f>C18/(1+'Допущения'!$B$9)*'Допущения'!E31+'Допущения'!C31*'Допущения'!$B$8*$B18*'Допущения'!F31*(1+'Допущения'!$B$14)^0+D18/(1+'Допущения'!$B$9)*'Допущения'!E32+'Допущения'!C32*'Допущения'!$B$8*$B18*'Допущения'!F32*(1+'Допущения'!$B$14)^0+E18/(1+'Допущения'!$B$9)*'Допущения'!E33+'Допущения'!C33*'Допущения'!$B$8*$B18*'Допущения'!F33*(1+'Допущения'!$B$14)^0+F18/(1+'Допущения'!$B$9)*'Допущения'!E34+'Допущения'!C34*'Допущения'!$B$8*$B18*'Допущения'!F34*(1+'Допущения'!$B$14)^0+G18/(1+'Допущения'!$B$9)*'Допущения'!E35+'Допущения'!C35*'Допущения'!$B$8*$B18*'Допущения'!F35*(1+'Допущения'!$B$14)^0+H18/(1+'Допущения'!$B$9)*'Допущения'!E36+'Допущения'!C36*'Допущения'!$B$8*$B18*'Допущения'!F36*(1+'Допущения'!$B$14)^0+I18/(1+'Допущения'!$B$9)*'Допущения'!E37+'Допущения'!C37*'Допущения'!$B$8*$B18*'Допущения'!F37*(1+'Допущения'!$B$14)^0</x:f>
        <x:v>179326.0653753026</x:v>
      </x:c>
      <x:c r="M18" s="9" t="n">
        <x:f>J18*'Допущения'!$B$11</x:f>
        <x:v>34243.35762711864</x:v>
      </x:c>
      <x:c r="N18" s="9" t="n">
        <x:f>'Инвестиции'!$C$35*(1+'Допущения'!$B$14)^0</x:f>
        <x:v>541822.2266666667</x:v>
      </x:c>
      <x:c r="O18" s="9" t="n">
        <x:f>K18*'Допущения'!$B$10</x:f>
        <x:v>97838.16464891039</x:v>
      </x:c>
      <x:c r="P18" s="9" t="n">
        <x:f>K18*'Допущения'!$B$12</x:f>
        <x:v>32612.721549636797</x:v>
      </x:c>
      <x:c r="Q18" s="7" t="n">
        <x:f>K18-L18-M18-N18</x:f>
        <x:v>875244.4278127517</x:v>
      </x:c>
      <x:c r="R18" s="7" t="n">
        <x:f>Q18-O18-P18</x:f>
        <x:v>744793.5416142045</x:v>
      </x:c>
      <x:c r="S18" s="7" t="n">
        <x:f>S17+R18</x:f>
        <x:v>-2521788.4375326885</x:v>
      </x:c>
      <x:c r="T18" s="7" t="n">
        <x:f>IF(S18&gt;=0,A18,999)</x:f>
        <x:v>999</x:v>
      </x:c>
      <x:c r="U18" s="22" t="n">
        <x:f>'Допущения'!C31*'Допущения'!$B$8*B18*'Допущения'!$B$17/'Допущения'!$B$18/'Допущения'!$B$16</x:f>
        <x:v>7.8576656394453</x:v>
      </x:c>
      <x:c r="V18" s="7"/>
      <x:c r="W18" s="7"/>
    </x:row>
    <x:row r="19" ht="23" customHeight="1">
      <x:c r="A19" s="1" t="n">
        <x:v>13</x:v>
      </x:c>
      <x:c r="B19" s="17" t="n">
        <x:f>'Допущения'!C42*'Допущения'!D53</x:f>
        <x:v>1.1186440677966103</x:v>
      </x:c>
      <x:c r="C19" s="9" t="n">
        <x:f>'Допущения'!C31*'Допущения'!$B$8*'Допущения'!D31*$B19*(1+'Допущения'!$B$13)^1</x:f>
        <x:v>1018472.9033898306</x:v>
      </x:c>
      <x:c r="D19" s="9" t="n">
        <x:f>'Допущения'!C32*'Допущения'!$B$8*'Допущения'!D32*$B19*(1+'Допущения'!$B$13)^1</x:f>
        <x:v>43872.67891525424</x:v>
      </x:c>
      <x:c r="E19" s="9" t="n">
        <x:f>'Допущения'!C33*'Допущения'!$B$8*'Допущения'!D33*$B19*(1+'Допущения'!$B$13)^1</x:f>
        <x:v>36560.56576271187</x:v>
      </x:c>
      <x:c r="F19" s="9" t="n">
        <x:f>'Допущения'!C34*'Допущения'!$B$8*'Допущения'!D34*$B19*(1+'Допущения'!$B$13)^1</x:f>
        <x:v>165393.03559322038</x:v>
      </x:c>
      <x:c r="G19" s="9" t="n">
        <x:f>'Допущения'!C35*'Допущения'!$B$8*'Допущения'!D35*$B19*(1+'Допущения'!$B$13)^1</x:f>
        <x:v>263236.0734915254</x:v>
      </x:c>
      <x:c r="H19" s="9" t="n">
        <x:f>'Допущения'!C36*'Допущения'!$B$8*'Допущения'!D36*$B19*(1+'Допущения'!$B$13)^1</x:f>
        <x:v>24373.71050847458</x:v>
      </x:c>
      <x:c r="I19" s="9" t="n">
        <x:f>'Допущения'!C37*'Допущения'!$B$8*'Допущения'!D37*$B19*(1+'Допущения'!$B$13)^1</x:f>
        <x:v>0</x:v>
      </x:c>
      <x:c r="J19" s="7" t="n">
        <x:f>SUM(C19:I19)</x:f>
        <x:v>1551908.967661017</x:v>
      </x:c>
      <x:c r="K19" s="9" t="n">
        <x:f>J19/(1+'Допущения'!$B$9)</x:f>
        <x:v>1478008.54062954</x:v>
      </x:c>
      <x:c r="L19" s="9" t="n">
        <x:f>C19/(1+'Допущения'!$B$9)*'Допущения'!E31+'Допущения'!C31*'Допущения'!$B$8*$B19*'Допущения'!F31*(1+'Допущения'!$B$14)^1+D19/(1+'Допущения'!$B$9)*'Допущения'!E32+'Допущения'!C32*'Допущения'!$B$8*$B19*'Допущения'!F32*(1+'Допущения'!$B$14)^1+E19/(1+'Допущения'!$B$9)*'Допущения'!E33+'Допущения'!C33*'Допущения'!$B$8*$B19*'Допущения'!F33*(1+'Допущения'!$B$14)^1+F19/(1+'Допущения'!$B$9)*'Допущения'!E34+'Допущения'!C34*'Допущения'!$B$8*$B19*'Допущения'!F34*(1+'Допущения'!$B$14)^1+G19/(1+'Допущения'!$B$9)*'Допущения'!E35+'Допущения'!C35*'Допущения'!$B$8*$B19*'Допущения'!F35*(1+'Допущения'!$B$14)^1+H19/(1+'Допущения'!$B$9)*'Допущения'!E36+'Допущения'!C36*'Допущения'!$B$8*$B19*'Допущения'!F36*(1+'Допущения'!$B$14)^1+I19/(1+'Допущения'!$B$9)*'Допущения'!E37+'Допущения'!C37*'Допущения'!$B$8*$B19*'Допущения'!F37*(1+'Допущения'!$B$14)^1</x:f>
        <x:v>162541.14565617434</x:v>
      </x:c>
      <x:c r="M19" s="9" t="n">
        <x:f>J19*'Допущения'!$B$11</x:f>
        <x:v>31038.17935322034</x:v>
      </x:c>
      <x:c r="N19" s="9" t="n">
        <x:f>'Инвестиции'!$C$35*(1+'Допущения'!$B$14)^1</x:f>
        <x:v>568913.338</x:v>
      </x:c>
      <x:c r="O19" s="9" t="n">
        <x:f>K19*'Допущения'!$B$10</x:f>
        <x:v>88680.5124377724</x:v>
      </x:c>
      <x:c r="P19" s="9" t="n">
        <x:f>K19*'Допущения'!$B$12</x:f>
        <x:v>29560.170812590804</x:v>
      </x:c>
      <x:c r="Q19" s="7" t="n">
        <x:f>K19-L19-M19-N19</x:f>
        <x:v>715515.8776201454</x:v>
      </x:c>
      <x:c r="R19" s="7" t="n">
        <x:f>Q19-O19-P19</x:f>
        <x:v>597275.1943697822</x:v>
      </x:c>
      <x:c r="S19" s="7" t="n">
        <x:f>S18+R19</x:f>
        <x:v>-1924513.2431629063</x:v>
      </x:c>
      <x:c r="T19" s="7" t="n">
        <x:f>IF(S19&gt;=0,A19,999)</x:f>
        <x:v>999</x:v>
      </x:c>
      <x:c r="U19" s="22" t="n">
        <x:f>'Допущения'!C31*'Допущения'!$B$8*B19*'Допущения'!$B$17/'Допущения'!$B$18/'Допущения'!$B$16</x:f>
        <x:v>6.914745762711865</x:v>
      </x:c>
      <x:c r="V19" s="7"/>
      <x:c r="W19" s="7"/>
    </x:row>
    <x:row r="20" ht="23" customHeight="1">
      <x:c r="A20" s="1" t="n">
        <x:v>14</x:v>
      </x:c>
      <x:c r="B20" s="17" t="n">
        <x:f>'Допущения'!C43*'Допущения'!D53</x:f>
        <x:v>1.0677966101694916</x:v>
      </x:c>
      <x:c r="C20" s="9" t="n">
        <x:f>'Допущения'!C31*'Допущения'!$B$8*'Допущения'!D31*$B20*(1+'Допущения'!$B$13)^1</x:f>
        <x:v>972178.6805084746</x:v>
      </x:c>
      <x:c r="D20" s="9" t="n">
        <x:f>'Допущения'!C32*'Допущения'!$B$8*'Допущения'!D32*$B20*(1+'Допущения'!$B$13)^1</x:f>
        <x:v>41878.46623728813</x:v>
      </x:c>
      <x:c r="E20" s="9" t="n">
        <x:f>'Допущения'!C33*'Допущения'!$B$8*'Допущения'!D33*$B20*(1+'Допущения'!$B$13)^1</x:f>
        <x:v>34898.72186440678</x:v>
      </x:c>
      <x:c r="F20" s="9" t="n">
        <x:f>'Допущения'!C34*'Допущения'!$B$8*'Допущения'!D34*$B20*(1+'Допущения'!$B$13)^1</x:f>
        <x:v>157875.17033898307</x:v>
      </x:c>
      <x:c r="G20" s="9" t="n">
        <x:f>'Допущения'!C35*'Допущения'!$B$8*'Допущения'!D35*$B20*(1+'Допущения'!$B$13)^1</x:f>
        <x:v>251270.7974237288</x:v>
      </x:c>
      <x:c r="H20" s="9" t="n">
        <x:f>'Допущения'!C36*'Допущения'!$B$8*'Допущения'!D36*$B20*(1+'Допущения'!$B$13)^1</x:f>
        <x:v>23265.814576271187</x:v>
      </x:c>
      <x:c r="I20" s="9" t="n">
        <x:f>'Допущения'!C37*'Допущения'!$B$8*'Допущения'!D37*$B20*(1+'Допущения'!$B$13)^1</x:f>
        <x:v>0</x:v>
      </x:c>
      <x:c r="J20" s="7" t="n">
        <x:f>SUM(C20:I20)</x:f>
        <x:v>1481367.6509491524</x:v>
      </x:c>
      <x:c r="K20" s="9" t="n">
        <x:f>J20/(1+'Допущения'!$B$9)</x:f>
        <x:v>1410826.334237288</x:v>
      </x:c>
      <x:c r="L20" s="9" t="n">
        <x:f>C20/(1+'Допущения'!$B$9)*'Допущения'!E31+'Допущения'!C31*'Допущения'!$B$8*$B20*'Допущения'!F31*(1+'Допущения'!$B$14)^1+D20/(1+'Допущения'!$B$9)*'Допущения'!E32+'Допущения'!C32*'Допущения'!$B$8*$B20*'Допущения'!F32*(1+'Допущения'!$B$14)^1+E20/(1+'Допущения'!$B$9)*'Допущения'!E33+'Допущения'!C33*'Допущения'!$B$8*$B20*'Допущения'!F33*(1+'Допущения'!$B$14)^1+F20/(1+'Допущения'!$B$9)*'Допущения'!E34+'Допущения'!C34*'Допущения'!$B$8*$B20*'Допущения'!F34*(1+'Допущения'!$B$14)^1+G20/(1+'Допущения'!$B$9)*'Допущения'!E35+'Допущения'!C35*'Допущения'!$B$8*$B20*'Допущения'!F35*(1+'Допущения'!$B$14)^1+H20/(1+'Допущения'!$B$9)*'Допущения'!E36+'Допущения'!C36*'Допущения'!$B$8*$B20*'Допущения'!F36*(1+'Допущения'!$B$14)^1+I20/(1+'Допущения'!$B$9)*'Допущения'!E37+'Допущения'!C37*'Допущения'!$B$8*$B20*'Допущения'!F37*(1+'Допущения'!$B$14)^1</x:f>
        <x:v>155152.91176271185</x:v>
      </x:c>
      <x:c r="M20" s="9" t="n">
        <x:f>J20*'Допущения'!$B$11</x:f>
        <x:v>29627.35301898305</x:v>
      </x:c>
      <x:c r="N20" s="9" t="n">
        <x:f>'Инвестиции'!$C$35*(1+'Допущения'!$B$14)^1</x:f>
        <x:v>568913.338</x:v>
      </x:c>
      <x:c r="O20" s="9" t="n">
        <x:f>K20*'Допущения'!$B$10</x:f>
        <x:v>84649.58005423727</x:v>
      </x:c>
      <x:c r="P20" s="9" t="n">
        <x:f>K20*'Допущения'!$B$12</x:f>
        <x:v>28216.52668474576</x:v>
      </x:c>
      <x:c r="Q20" s="7" t="n">
        <x:f>K20-L20-M20-N20</x:f>
        <x:v>657132.7314555931</x:v>
      </x:c>
      <x:c r="R20" s="7" t="n">
        <x:f>Q20-O20-P20</x:f>
        <x:v>544266.6247166101</x:v>
      </x:c>
      <x:c r="S20" s="7" t="n">
        <x:f>S19+R20</x:f>
        <x:v>-1380246.618446296</x:v>
      </x:c>
      <x:c r="T20" s="7" t="n">
        <x:f>IF(S20&gt;=0,A20,999)</x:f>
        <x:v>999</x:v>
      </x:c>
      <x:c r="U20" s="22" t="n">
        <x:f>'Допущения'!C31*'Допущения'!$B$8*B20*'Допущения'!$B$17/'Допущения'!$B$18/'Допущения'!$B$16</x:f>
        <x:v>6.600439137134052</x:v>
      </x:c>
      <x:c r="V20" s="7"/>
      <x:c r="W20" s="7"/>
    </x:row>
    <x:row r="21" ht="23" customHeight="1">
      <x:c r="A21" s="1" t="n">
        <x:v>15</x:v>
      </x:c>
      <x:c r="B21" s="17" t="n">
        <x:f>'Допущения'!C44*'Допущения'!D53</x:f>
        <x:v>1.0169491525423728</x:v>
      </x:c>
      <x:c r="C21" s="9" t="n">
        <x:f>'Допущения'!C31*'Допущения'!$B$8*'Допущения'!D31*$B21*(1+'Допущения'!$B$13)^1</x:f>
        <x:v>925884.4576271184</x:v>
      </x:c>
      <x:c r="D21" s="9" t="n">
        <x:f>'Допущения'!C32*'Допущения'!$B$8*'Допущения'!D32*$B21*(1+'Допущения'!$B$13)^1</x:f>
        <x:v>39884.25355932203</x:v>
      </x:c>
      <x:c r="E21" s="9" t="n">
        <x:f>'Допущения'!C33*'Допущения'!$B$8*'Допущения'!D33*$B21*(1+'Допущения'!$B$13)^1</x:f>
        <x:v>33236.877966101696</x:v>
      </x:c>
      <x:c r="F21" s="9" t="n">
        <x:f>'Допущения'!C34*'Допущения'!$B$8*'Допущения'!D34*$B21*(1+'Допущения'!$B$13)^1</x:f>
        <x:v>150357.30508474575</x:v>
      </x:c>
      <x:c r="G21" s="9" t="n">
        <x:f>'Допущения'!C35*'Допущения'!$B$8*'Допущения'!D35*$B21*(1+'Допущения'!$B$13)^1</x:f>
        <x:v>239305.52135593217</x:v>
      </x:c>
      <x:c r="H21" s="9" t="n">
        <x:f>'Допущения'!C36*'Допущения'!$B$8*'Допущения'!D36*$B21*(1+'Допущения'!$B$13)^1</x:f>
        <x:v>22157.918644067795</x:v>
      </x:c>
      <x:c r="I21" s="9" t="n">
        <x:f>'Допущения'!C37*'Допущения'!$B$8*'Допущения'!D37*$B21*(1+'Допущения'!$B$13)^1</x:f>
        <x:v>0</x:v>
      </x:c>
      <x:c r="J21" s="7" t="n">
        <x:f>SUM(C21:I21)</x:f>
        <x:v>1410826.3342372878</x:v>
      </x:c>
      <x:c r="K21" s="9" t="n">
        <x:f>J21/(1+'Допущения'!$B$9)</x:f>
        <x:v>1343644.1278450359</x:v>
      </x:c>
      <x:c r="L21" s="9" t="n">
        <x:f>C21/(1+'Допущения'!$B$9)*'Допущения'!E31+'Допущения'!C31*'Допущения'!$B$8*$B21*'Допущения'!F31*(1+'Допущения'!$B$14)^1+D21/(1+'Допущения'!$B$9)*'Допущения'!E32+'Допущения'!C32*'Допущения'!$B$8*$B21*'Допущения'!F32*(1+'Допущения'!$B$14)^1+E21/(1+'Допущения'!$B$9)*'Допущения'!E33+'Допущения'!C33*'Допущения'!$B$8*$B21*'Допущения'!F33*(1+'Допущения'!$B$14)^1+F21/(1+'Допущения'!$B$9)*'Допущения'!E34+'Допущения'!C34*'Допущения'!$B$8*$B21*'Допущения'!F34*(1+'Допущения'!$B$14)^1+G21/(1+'Допущения'!$B$9)*'Допущения'!E35+'Допущения'!C35*'Допущения'!$B$8*$B21*'Допущения'!F35*(1+'Допущения'!$B$14)^1+H21/(1+'Допущения'!$B$9)*'Допущения'!E36+'Допущения'!C36*'Допущения'!$B$8*$B21*'Допущения'!F36*(1+'Допущения'!$B$14)^1+I21/(1+'Допущения'!$B$9)*'Допущения'!E37+'Допущения'!C37*'Допущения'!$B$8*$B21*'Допущения'!F37*(1+'Допущения'!$B$14)^1</x:f>
        <x:v>147764.67786924937</x:v>
      </x:c>
      <x:c r="M21" s="9" t="n">
        <x:f>J21*'Допущения'!$B$11</x:f>
        <x:v>28216.526684745757</x:v>
      </x:c>
      <x:c r="N21" s="9" t="n">
        <x:f>'Инвестиции'!$C$35*(1+'Допущения'!$B$14)^1</x:f>
        <x:v>568913.338</x:v>
      </x:c>
      <x:c r="O21" s="9" t="n">
        <x:f>K21*'Допущения'!$B$10</x:f>
        <x:v>80618.64767070215</x:v>
      </x:c>
      <x:c r="P21" s="9" t="n">
        <x:f>K21*'Допущения'!$B$12</x:f>
        <x:v>26872.882556900717</x:v>
      </x:c>
      <x:c r="Q21" s="7" t="n">
        <x:f>K21-L21-M21-N21</x:f>
        <x:v>598749.5852910408</x:v>
      </x:c>
      <x:c r="R21" s="7" t="n">
        <x:f>Q21-O21-P21</x:f>
        <x:v>491258.05506343796</x:v>
      </x:c>
      <x:c r="S21" s="7" t="n">
        <x:f>S20+R21</x:f>
        <x:v>-888988.5633828582</x:v>
      </x:c>
      <x:c r="T21" s="7" t="n">
        <x:f>IF(S21&gt;=0,A21,999)</x:f>
        <x:v>999</x:v>
      </x:c>
      <x:c r="U21" s="22" t="n">
        <x:f>'Допущения'!C31*'Допущения'!$B$8*B21*'Допущения'!$B$17/'Допущения'!$B$18/'Допущения'!$B$16</x:f>
        <x:v>6.28613251155624</x:v>
      </x:c>
      <x:c r="V21" s="7"/>
      <x:c r="W21" s="7"/>
    </x:row>
    <x:row r="22" ht="23" customHeight="1">
      <x:c r="A22" s="1" t="n">
        <x:v>16</x:v>
      </x:c>
      <x:c r="B22" s="17" t="n">
        <x:f>'Допущения'!C45*'Допущения'!D53</x:f>
        <x:v>0.9152542372881356</x:v>
      </x:c>
      <x:c r="C22" s="9" t="n">
        <x:f>'Допущения'!C31*'Допущения'!$B$8*'Допущения'!D31*$B22*(1+'Допущения'!$B$13)^1</x:f>
        <x:v>833296.0118644066</x:v>
      </x:c>
      <x:c r="D22" s="9" t="n">
        <x:f>'Допущения'!C32*'Допущения'!$B$8*'Допущения'!D32*$B22*(1+'Допущения'!$B$13)^1</x:f>
        <x:v>35895.82820338983</x:v>
      </x:c>
      <x:c r="E22" s="9" t="n">
        <x:f>'Допущения'!C33*'Допущения'!$B$8*'Допущения'!D33*$B22*(1+'Допущения'!$B$13)^1</x:f>
        <x:v>29913.19016949153</x:v>
      </x:c>
      <x:c r="F22" s="9" t="n">
        <x:f>'Допущения'!C34*'Допущения'!$B$8*'Допущения'!D34*$B22*(1+'Допущения'!$B$13)^1</x:f>
        <x:v>135321.57457627117</x:v>
      </x:c>
      <x:c r="G22" s="9" t="n">
        <x:f>'Допущения'!C35*'Допущения'!$B$8*'Допущения'!D35*$B22*(1+'Допущения'!$B$13)^1</x:f>
        <x:v>215374.96922033897</x:v>
      </x:c>
      <x:c r="H22" s="9" t="n">
        <x:f>'Допущения'!C36*'Допущения'!$B$8*'Допущения'!D36*$B22*(1+'Допущения'!$B$13)^1</x:f>
        <x:v>19942.126779661015</x:v>
      </x:c>
      <x:c r="I22" s="9" t="n">
        <x:f>'Допущения'!C37*'Допущения'!$B$8*'Допущения'!D37*$B22*(1+'Допущения'!$B$13)^1</x:f>
        <x:v>0</x:v>
      </x:c>
      <x:c r="J22" s="7" t="n">
        <x:f>SUM(C22:I22)</x:f>
        <x:v>1269743.7008135593</x:v>
      </x:c>
      <x:c r="K22" s="9" t="n">
        <x:f>J22/(1+'Допущения'!$B$9)</x:f>
        <x:v>1209279.7150605326</x:v>
      </x:c>
      <x:c r="L22" s="9" t="n">
        <x:f>C22/(1+'Допущения'!$B$9)*'Допущения'!E31+'Допущения'!C31*'Допущения'!$B$8*$B22*'Допущения'!F31*(1+'Допущения'!$B$14)^1+D22/(1+'Допущения'!$B$9)*'Допущения'!E32+'Допущения'!C32*'Допущения'!$B$8*$B22*'Допущения'!F32*(1+'Допущения'!$B$14)^1+E22/(1+'Допущения'!$B$9)*'Допущения'!E33+'Допущения'!C33*'Допущения'!$B$8*$B22*'Допущения'!F33*(1+'Допущения'!$B$14)^1+F22/(1+'Допущения'!$B$9)*'Допущения'!E34+'Допущения'!C34*'Допущения'!$B$8*$B22*'Допущения'!F34*(1+'Допущения'!$B$14)^1+G22/(1+'Допущения'!$B$9)*'Допущения'!E35+'Допущения'!C35*'Допущения'!$B$8*$B22*'Допущения'!F35*(1+'Допущения'!$B$14)^1+H22/(1+'Допущения'!$B$9)*'Допущения'!E36+'Допущения'!C36*'Допущения'!$B$8*$B22*'Допущения'!F36*(1+'Допущения'!$B$14)^1+I22/(1+'Допущения'!$B$9)*'Допущения'!E37+'Допущения'!C37*'Допущения'!$B$8*$B22*'Допущения'!F37*(1+'Допущения'!$B$14)^1</x:f>
        <x:v>132988.21008232443</x:v>
      </x:c>
      <x:c r="M22" s="9" t="n">
        <x:f>J22*'Допущения'!$B$11</x:f>
        <x:v>25394.874016271187</x:v>
      </x:c>
      <x:c r="N22" s="9" t="n">
        <x:f>'Инвестиции'!$C$35*(1+'Допущения'!$B$14)^1</x:f>
        <x:v>568913.338</x:v>
      </x:c>
      <x:c r="O22" s="9" t="n">
        <x:f>K22*'Допущения'!$B$10</x:f>
        <x:v>72556.78290363195</x:v>
      </x:c>
      <x:c r="P22" s="9" t="n">
        <x:f>K22*'Допущения'!$B$12</x:f>
        <x:v>24185.59430121065</x:v>
      </x:c>
      <x:c r="Q22" s="7" t="n">
        <x:f>K22-L22-M22-N22</x:f>
        <x:v>481983.2929619369</x:v>
      </x:c>
      <x:c r="R22" s="7" t="n">
        <x:f>Q22-O22-P22</x:f>
        <x:v>385240.91575709434</x:v>
      </x:c>
      <x:c r="S22" s="7" t="n">
        <x:f>S21+R22</x:f>
        <x:v>-503747.64762576384</x:v>
      </x:c>
      <x:c r="T22" s="7" t="n">
        <x:f>IF(S22&gt;=0,A22,999)</x:f>
        <x:v>999</x:v>
      </x:c>
      <x:c r="U22" s="22" t="n">
        <x:f>'Допущения'!C31*'Допущения'!$B$8*B22*'Допущения'!$B$17/'Допущения'!$B$18/'Допущения'!$B$16</x:f>
        <x:v>5.6575192604006155</x:v>
      </x:c>
      <x:c r="V22" s="7"/>
      <x:c r="W22" s="7"/>
    </x:row>
    <x:row r="23" ht="23" customHeight="1">
      <x:c r="A23" s="1" t="n">
        <x:v>17</x:v>
      </x:c>
      <x:c r="B23" s="17" t="n">
        <x:f>'Допущения'!C46*'Допущения'!D53</x:f>
        <x:v>0.8644067796610169</x:v>
      </x:c>
      <x:c r="C23" s="9" t="n">
        <x:f>'Допущения'!C31*'Допущения'!$B$8*'Допущения'!D31*$B23*(1+'Допущения'!$B$13)^1</x:f>
        <x:v>787001.7889830507</x:v>
      </x:c>
      <x:c r="D23" s="9" t="n">
        <x:f>'Допущения'!C32*'Допущения'!$B$8*'Допущения'!D32*$B23*(1+'Допущения'!$B$13)^1</x:f>
        <x:v>33901.615525423724</x:v>
      </x:c>
      <x:c r="E23" s="9" t="n">
        <x:f>'Допущения'!C33*'Допущения'!$B$8*'Допущения'!D33*$B23*(1+'Допущения'!$B$13)^1</x:f>
        <x:v>28251.34627118644</x:v>
      </x:c>
      <x:c r="F23" s="9" t="n">
        <x:f>'Допущения'!C34*'Допущения'!$B$8*'Допущения'!D34*$B23*(1+'Допущения'!$B$13)^1</x:f>
        <x:v>127803.70932203389</x:v>
      </x:c>
      <x:c r="G23" s="9" t="n">
        <x:f>'Допущения'!C35*'Допущения'!$B$8*'Допущения'!D35*$B23*(1+'Допущения'!$B$13)^1</x:f>
        <x:v>203409.6931525423</x:v>
      </x:c>
      <x:c r="H23" s="9" t="n">
        <x:f>'Допущения'!C36*'Допущения'!$B$8*'Допущения'!D36*$B23*(1+'Допущения'!$B$13)^1</x:f>
        <x:v>18834.230847457624</x:v>
      </x:c>
      <x:c r="I23" s="9" t="n">
        <x:f>'Допущения'!C37*'Допущения'!$B$8*'Допущения'!D37*$B23*(1+'Допущения'!$B$13)^1</x:f>
        <x:v>0</x:v>
      </x:c>
      <x:c r="J23" s="7" t="n">
        <x:f>SUM(C23:I23)</x:f>
        <x:v>1199202.384101695</x:v>
      </x:c>
      <x:c r="K23" s="9" t="n">
        <x:f>J23/(1+'Допущения'!$B$9)</x:f>
        <x:v>1142097.508668281</x:v>
      </x:c>
      <x:c r="L23" s="9" t="n">
        <x:f>C23/(1+'Допущения'!$B$9)*'Допущения'!E31+'Допущения'!C31*'Допущения'!$B$8*$B23*'Допущения'!F31*(1+'Допущения'!$B$14)^1+D23/(1+'Допущения'!$B$9)*'Допущения'!E32+'Допущения'!C32*'Допущения'!$B$8*$B23*'Допущения'!F32*(1+'Допущения'!$B$14)^1+E23/(1+'Допущения'!$B$9)*'Допущения'!E33+'Допущения'!C33*'Допущения'!$B$8*$B23*'Допущения'!F33*(1+'Допущения'!$B$14)^1+F23/(1+'Допущения'!$B$9)*'Допущения'!E34+'Допущения'!C34*'Допущения'!$B$8*$B23*'Допущения'!F34*(1+'Допущения'!$B$14)^1+G23/(1+'Допущения'!$B$9)*'Допущения'!E35+'Допущения'!C35*'Допущения'!$B$8*$B23*'Допущения'!F35*(1+'Допущения'!$B$14)^1+H23/(1+'Допущения'!$B$9)*'Допущения'!E36+'Допущения'!C36*'Допущения'!$B$8*$B23*'Допущения'!F36*(1+'Допущения'!$B$14)^1+I23/(1+'Допущения'!$B$9)*'Допущения'!E37+'Допущения'!C37*'Допущения'!$B$8*$B23*'Допущения'!F37*(1+'Допущения'!$B$14)^1</x:f>
        <x:v>125599.97618886195</x:v>
      </x:c>
      <x:c r="M23" s="9" t="n">
        <x:f>J23*'Допущения'!$B$11</x:f>
        <x:v>23984.0476820339</x:v>
      </x:c>
      <x:c r="N23" s="9" t="n">
        <x:f>'Инвестиции'!$C$35*(1+'Допущения'!$B$14)^1</x:f>
        <x:v>568913.338</x:v>
      </x:c>
      <x:c r="O23" s="9" t="n">
        <x:f>K23*'Допущения'!$B$10</x:f>
        <x:v>68525.85052009685</x:v>
      </x:c>
      <x:c r="P23" s="9" t="n">
        <x:f>K23*'Допущения'!$B$12</x:f>
        <x:v>22841.950173365618</x:v>
      </x:c>
      <x:c r="Q23" s="7" t="n">
        <x:f>K23-L23-M23-N23</x:f>
        <x:v>423600.14679738507</x:v>
      </x:c>
      <x:c r="R23" s="7" t="n">
        <x:f>Q23-O23-P23</x:f>
        <x:v>332232.34610392264</x:v>
      </x:c>
      <x:c r="S23" s="7" t="n">
        <x:f>S22+R23</x:f>
        <x:v>-171515.3015218412</x:v>
      </x:c>
      <x:c r="T23" s="7" t="n">
        <x:f>IF(S23&gt;=0,A23,999)</x:f>
        <x:v>999</x:v>
      </x:c>
      <x:c r="U23" s="22" t="n">
        <x:f>'Допущения'!C31*'Допущения'!$B$8*B23*'Допущения'!$B$17/'Допущения'!$B$18/'Допущения'!$B$16</x:f>
        <x:v>5.3432126348228035</x:v>
      </x:c>
      <x:c r="V23" s="7"/>
      <x:c r="W23" s="7"/>
    </x:row>
    <x:row r="24" ht="23" customHeight="1">
      <x:c r="A24" s="1" t="n">
        <x:v>18</x:v>
      </x:c>
      <x:c r="B24" s="17" t="n">
        <x:f>'Допущения'!C47*'Допущения'!D53</x:f>
        <x:v>0.7118644067796609</x:v>
      </x:c>
      <x:c r="C24" s="9" t="n">
        <x:f>'Допущения'!C31*'Допущения'!$B$8*'Допущения'!D31*$B24*(1+'Допущения'!$B$13)^1</x:f>
        <x:v>648119.1203389829</x:v>
      </x:c>
      <x:c r="D24" s="9" t="n">
        <x:f>'Допущения'!C32*'Допущения'!$B$8*'Допущения'!D32*$B24*(1+'Допущения'!$B$13)^1</x:f>
        <x:v>27918.977491525417</x:v>
      </x:c>
      <x:c r="E24" s="9" t="n">
        <x:f>'Допущения'!C33*'Допущения'!$B$8*'Допущения'!D33*$B24*(1+'Допущения'!$B$13)^1</x:f>
        <x:v>23265.814576271183</x:v>
      </x:c>
      <x:c r="F24" s="9" t="n">
        <x:f>'Допущения'!C34*'Допущения'!$B$8*'Допущения'!D34*$B24*(1+'Допущения'!$B$13)^1</x:f>
        <x:v>105250.11355932202</x:v>
      </x:c>
      <x:c r="G24" s="9" t="n">
        <x:f>'Допущения'!C35*'Допущения'!$B$8*'Допущения'!D35*$B24*(1+'Допущения'!$B$13)^1</x:f>
        <x:v>167513.86494915248</x:v>
      </x:c>
      <x:c r="H24" s="9" t="n">
        <x:f>'Допущения'!C36*'Допущения'!$B$8*'Допущения'!D36*$B24*(1+'Допущения'!$B$13)^1</x:f>
        <x:v>15510.543050847455</x:v>
      </x:c>
      <x:c r="I24" s="9" t="n">
        <x:f>'Допущения'!C37*'Допущения'!$B$8*'Допущения'!D37*$B24*(1+'Допущения'!$B$13)^1</x:f>
        <x:v>0</x:v>
      </x:c>
      <x:c r="J24" s="7" t="n">
        <x:f>SUM(C24:I24)</x:f>
        <x:v>987578.4339661015</x:v>
      </x:c>
      <x:c r="K24" s="9" t="n">
        <x:f>J24/(1+'Допущения'!$B$9)</x:f>
        <x:v>940550.8894915252</x:v>
      </x:c>
      <x:c r="L24" s="9" t="n">
        <x:f>C24/(1+'Допущения'!$B$9)*'Допущения'!E31+'Допущения'!C31*'Допущения'!$B$8*$B24*'Допущения'!F31*(1+'Допущения'!$B$14)^1+D24/(1+'Допущения'!$B$9)*'Допущения'!E32+'Допущения'!C32*'Допущения'!$B$8*$B24*'Допущения'!F32*(1+'Допущения'!$B$14)^1+E24/(1+'Допущения'!$B$9)*'Допущения'!E33+'Допущения'!C33*'Допущения'!$B$8*$B24*'Допущения'!F33*(1+'Допущения'!$B$14)^1+F24/(1+'Допущения'!$B$9)*'Допущения'!E34+'Допущения'!C34*'Допущения'!$B$8*$B24*'Допущения'!F34*(1+'Допущения'!$B$14)^1+G24/(1+'Допущения'!$B$9)*'Допущения'!E35+'Допущения'!C35*'Допущения'!$B$8*$B24*'Допущения'!F35*(1+'Допущения'!$B$14)^1+H24/(1+'Допущения'!$B$9)*'Допущения'!E36+'Допущения'!C36*'Допущения'!$B$8*$B24*'Допущения'!F36*(1+'Допущения'!$B$14)^1+I24/(1+'Допущения'!$B$9)*'Допущения'!E37+'Допущения'!C37*'Допущения'!$B$8*$B24*'Допущения'!F37*(1+'Допущения'!$B$14)^1</x:f>
        <x:v>103435.27450847453</x:v>
      </x:c>
      <x:c r="M24" s="9" t="n">
        <x:f>J24*'Допущения'!$B$11</x:f>
        <x:v>19751.56867932203</x:v>
      </x:c>
      <x:c r="N24" s="9" t="n">
        <x:f>'Инвестиции'!$C$35*(1+'Допущения'!$B$14)^1</x:f>
        <x:v>568913.338</x:v>
      </x:c>
      <x:c r="O24" s="9" t="n">
        <x:f>K24*'Допущения'!$B$10</x:f>
        <x:v>56433.053369491514</x:v>
      </x:c>
      <x:c r="P24" s="9" t="n">
        <x:f>K24*'Допущения'!$B$12</x:f>
        <x:v>18811.017789830505</x:v>
      </x:c>
      <x:c r="Q24" s="7" t="n">
        <x:f>K24-L24-M24-N24</x:f>
        <x:v>248450.70830372872</x:v>
      </x:c>
      <x:c r="R24" s="7" t="n">
        <x:f>Q24-O24-P24</x:f>
        <x:v>173206.6371444067</x:v>
      </x:c>
      <x:c r="S24" s="7" t="n">
        <x:f>S23+R24</x:f>
        <x:v>1691.3356225655007</x:v>
      </x:c>
      <x:c r="T24" s="7" t="n">
        <x:f>IF(S24&gt;=0,A24,999)</x:f>
        <x:v>18</x:v>
      </x:c>
      <x:c r="U24" s="22" t="n">
        <x:f>'Допущения'!C31*'Допущения'!$B$8*B24*'Допущения'!$B$17/'Допущения'!$B$18/'Допущения'!$B$16</x:f>
        <x:v>4.400292758089368</x:v>
      </x:c>
      <x:c r="V24" s="7"/>
      <x:c r="W24" s="7"/>
    </x:row>
    <x:row r="25" ht="23" customHeight="1">
      <x:c r="A25" s="1" t="n">
        <x:v>19</x:v>
      </x:c>
      <x:c r="B25" s="17" t="n">
        <x:f>'Допущения'!C48*'Допущения'!D53</x:f>
        <x:v>0.7627118644067796</x:v>
      </x:c>
      <x:c r="C25" s="9" t="n">
        <x:f>'Допущения'!C31*'Допущения'!$B$8*'Допущения'!D31*$B25*(1+'Допущения'!$B$13)^1</x:f>
        <x:v>694413.3432203389</x:v>
      </x:c>
      <x:c r="D25" s="9" t="n">
        <x:f>'Допущения'!C32*'Допущения'!$B$8*'Допущения'!D32*$B25*(1+'Допущения'!$B$13)^1</x:f>
        <x:v>29913.190169491525</x:v>
      </x:c>
      <x:c r="E25" s="9" t="n">
        <x:f>'Допущения'!C33*'Допущения'!$B$8*'Допущения'!D33*$B25*(1+'Допущения'!$B$13)^1</x:f>
        <x:v>24927.65847457627</x:v>
      </x:c>
      <x:c r="F25" s="9" t="n">
        <x:f>'Допущения'!C34*'Допущения'!$B$8*'Допущения'!D34*$B25*(1+'Допущения'!$B$13)^1</x:f>
        <x:v>112767.97881355933</x:v>
      </x:c>
      <x:c r="G25" s="9" t="n">
        <x:f>'Допущения'!C35*'Допущения'!$B$8*'Допущения'!D35*$B25*(1+'Допущения'!$B$13)^1</x:f>
        <x:v>179479.1410169491</x:v>
      </x:c>
      <x:c r="H25" s="9" t="n">
        <x:f>'Допущения'!C36*'Допущения'!$B$8*'Допущения'!D36*$B25*(1+'Допущения'!$B$13)^1</x:f>
        <x:v>16618.438983050848</x:v>
      </x:c>
      <x:c r="I25" s="9" t="n">
        <x:f>'Допущения'!C37*'Допущения'!$B$8*'Допущения'!D37*$B25*(1+'Допущения'!$B$13)^1</x:f>
        <x:v>0</x:v>
      </x:c>
      <x:c r="J25" s="7" t="n">
        <x:f>SUM(C25:I25)</x:f>
        <x:v>1058119.750677966</x:v>
      </x:c>
      <x:c r="K25" s="9" t="n">
        <x:f>J25/(1+'Допущения'!$B$9)</x:f>
        <x:v>1007733.0958837771</x:v>
      </x:c>
      <x:c r="L25" s="9" t="n">
        <x:f>C25/(1+'Допущения'!$B$9)*'Допущения'!E31+'Допущения'!C31*'Допущения'!$B$8*$B25*'Допущения'!F31*(1+'Допущения'!$B$14)^1+D25/(1+'Допущения'!$B$9)*'Допущения'!E32+'Допущения'!C32*'Допущения'!$B$8*$B25*'Допущения'!F32*(1+'Допущения'!$B$14)^1+E25/(1+'Допущения'!$B$9)*'Допущения'!E33+'Допущения'!C33*'Допущения'!$B$8*$B25*'Допущения'!F33*(1+'Допущения'!$B$14)^1+F25/(1+'Допущения'!$B$9)*'Допущения'!E34+'Допущения'!C34*'Допущения'!$B$8*$B25*'Допущения'!F34*(1+'Допущения'!$B$14)^1+G25/(1+'Допущения'!$B$9)*'Допущения'!E35+'Допущения'!C35*'Допущения'!$B$8*$B25*'Допущения'!F35*(1+'Допущения'!$B$14)^1+H25/(1+'Допущения'!$B$9)*'Допущения'!E36+'Допущения'!C36*'Допущения'!$B$8*$B25*'Допущения'!F36*(1+'Допущения'!$B$14)^1+I25/(1+'Допущения'!$B$9)*'Допущения'!E37+'Допущения'!C37*'Допущения'!$B$8*$B25*'Допущения'!F37*(1+'Допущения'!$B$14)^1</x:f>
        <x:v>110823.50840193703</x:v>
      </x:c>
      <x:c r="M25" s="9" t="n">
        <x:f>J25*'Допущения'!$B$11</x:f>
        <x:v>21162.395013559322</x:v>
      </x:c>
      <x:c r="N25" s="9" t="n">
        <x:f>'Инвестиции'!$C$35*(1+'Допущения'!$B$14)^1</x:f>
        <x:v>568913.338</x:v>
      </x:c>
      <x:c r="O25" s="9" t="n">
        <x:f>K25*'Допущения'!$B$10</x:f>
        <x:v>60463.98575302662</x:v>
      </x:c>
      <x:c r="P25" s="9" t="n">
        <x:f>K25*'Допущения'!$B$12</x:f>
        <x:v>20154.661917675545</x:v>
      </x:c>
      <x:c r="Q25" s="7" t="n">
        <x:f>K25-L25-M25-N25</x:f>
        <x:v>306833.8544682807</x:v>
      </x:c>
      <x:c r="R25" s="7" t="n">
        <x:f>Q25-O25-P25</x:f>
        <x:v>226215.20679757852</x:v>
      </x:c>
      <x:c r="S25" s="7" t="n">
        <x:f>S24+R25</x:f>
        <x:v>227906.54242014402</x:v>
      </x:c>
      <x:c r="T25" s="7" t="n">
        <x:f>IF(S25&gt;=0,A25,999)</x:f>
        <x:v>19</x:v>
      </x:c>
      <x:c r="U25" s="22" t="n">
        <x:f>'Допущения'!C31*'Допущения'!$B$8*B25*'Допущения'!$B$17/'Допущения'!$B$18/'Допущения'!$B$16</x:f>
        <x:v>4.71459938366718</x:v>
      </x:c>
      <x:c r="V25" s="7"/>
      <x:c r="W25" s="7"/>
    </x:row>
    <x:row r="26" ht="23" customHeight="1">
      <x:c r="A26" s="1" t="n">
        <x:v>20</x:v>
      </x:c>
      <x:c r="B26" s="17" t="n">
        <x:f>'Допущения'!C49*'Допущения'!D53</x:f>
        <x:v>0.8135593220338982</x:v>
      </x:c>
      <x:c r="C26" s="9" t="n">
        <x:f>'Допущения'!C31*'Допущения'!$B$8*'Допущения'!D31*$B26*(1+'Допущения'!$B$13)^1</x:f>
        <x:v>740707.5661016948</x:v>
      </x:c>
      <x:c r="D26" s="9" t="n">
        <x:f>'Допущения'!C32*'Допущения'!$B$8*'Допущения'!D32*$B26*(1+'Допущения'!$B$13)^1</x:f>
        <x:v>31907.402847457623</x:v>
      </x:c>
      <x:c r="E26" s="9" t="n">
        <x:f>'Допущения'!C33*'Допущения'!$B$8*'Допущения'!D33*$B26*(1+'Допущения'!$B$13)^1</x:f>
        <x:v>26589.502372881354</x:v>
      </x:c>
      <x:c r="F26" s="9" t="n">
        <x:f>'Допущения'!C34*'Допущения'!$B$8*'Допущения'!D34*$B26*(1+'Допущения'!$B$13)^1</x:f>
        <x:v>120285.84406779661</x:v>
      </x:c>
      <x:c r="G26" s="9" t="n">
        <x:f>'Допущения'!C35*'Допущения'!$B$8*'Допущения'!D35*$B26*(1+'Допущения'!$B$13)^1</x:f>
        <x:v>191444.4170847457</x:v>
      </x:c>
      <x:c r="H26" s="9" t="n">
        <x:f>'Допущения'!C36*'Допущения'!$B$8*'Допущения'!D36*$B26*(1+'Допущения'!$B$13)^1</x:f>
        <x:v>17726.334915254236</x:v>
      </x:c>
      <x:c r="I26" s="9" t="n">
        <x:f>'Допущения'!C37*'Допущения'!$B$8*'Допущения'!D37*$B26*(1+'Допущения'!$B$13)^1</x:f>
        <x:v>0</x:v>
      </x:c>
      <x:c r="J26" s="7" t="n">
        <x:f>SUM(C26:I26)</x:f>
        <x:v>1128661.0673898305</x:v>
      </x:c>
      <x:c r="K26" s="9" t="n">
        <x:f>J26/(1+'Допущения'!$B$9)</x:f>
        <x:v>1074915.302276029</x:v>
      </x:c>
      <x:c r="L26" s="9" t="n">
        <x:f>C26/(1+'Допущения'!$B$9)*'Допущения'!E31+'Допущения'!C31*'Допущения'!$B$8*$B26*'Допущения'!F31*(1+'Допущения'!$B$14)^1+D26/(1+'Допущения'!$B$9)*'Допущения'!E32+'Допущения'!C32*'Допущения'!$B$8*$B26*'Допущения'!F32*(1+'Допущения'!$B$14)^1+E26/(1+'Допущения'!$B$9)*'Допущения'!E33+'Допущения'!C33*'Допущения'!$B$8*$B26*'Допущения'!F33*(1+'Допущения'!$B$14)^1+F26/(1+'Допущения'!$B$9)*'Допущения'!E34+'Допущения'!C34*'Допущения'!$B$8*$B26*'Допущения'!F34*(1+'Допущения'!$B$14)^1+G26/(1+'Допущения'!$B$9)*'Допущения'!E35+'Допущения'!C35*'Допущения'!$B$8*$B26*'Допущения'!F35*(1+'Допущения'!$B$14)^1+H26/(1+'Допущения'!$B$9)*'Допущения'!E36+'Допущения'!C36*'Допущения'!$B$8*$B26*'Допущения'!F36*(1+'Допущения'!$B$14)^1+I26/(1+'Допущения'!$B$9)*'Допущения'!E37+'Допущения'!C37*'Допущения'!$B$8*$B26*'Допущения'!F37*(1+'Допущения'!$B$14)^1</x:f>
        <x:v>118211.7422953995</x:v>
      </x:c>
      <x:c r="M26" s="9" t="n">
        <x:f>J26*'Допущения'!$B$11</x:f>
        <x:v>22573.22134779661</x:v>
      </x:c>
      <x:c r="N26" s="9" t="n">
        <x:f>'Инвестиции'!$C$35*(1+'Допущения'!$B$14)^1</x:f>
        <x:v>568913.338</x:v>
      </x:c>
      <x:c r="O26" s="9" t="n">
        <x:f>K26*'Допущения'!$B$10</x:f>
        <x:v>64494.91813656174</x:v>
      </x:c>
      <x:c r="P26" s="9" t="n">
        <x:f>K26*'Допущения'!$B$12</x:f>
        <x:v>21498.30604552058</x:v>
      </x:c>
      <x:c r="Q26" s="7" t="n">
        <x:f>K26-L26-M26-N26</x:f>
        <x:v>365217.0006328329</x:v>
      </x:c>
      <x:c r="R26" s="7" t="n">
        <x:f>Q26-O26-P26</x:f>
        <x:v>279223.77645075053</x:v>
      </x:c>
      <x:c r="S26" s="7" t="n">
        <x:f>S25+R26</x:f>
        <x:v>507130.31887089455</x:v>
      </x:c>
      <x:c r="T26" s="7" t="n">
        <x:f>IF(S26&gt;=0,A26,999)</x:f>
        <x:v>20</x:v>
      </x:c>
      <x:c r="U26" s="22" t="n">
        <x:f>'Допущения'!C31*'Допущения'!$B$8*B26*'Допущения'!$B$17/'Допущения'!$B$18/'Допущения'!$B$16</x:f>
        <x:v>5.028906009244991</x:v>
      </x:c>
      <x:c r="V26" s="7"/>
      <x:c r="W26" s="7"/>
    </x:row>
    <x:row r="27" ht="23" customHeight="1">
      <x:c r="A27" s="1" t="n">
        <x:v>21</x:v>
      </x:c>
      <x:c r="B27" s="17" t="n">
        <x:f>'Допущения'!C50*'Допущения'!D53</x:f>
        <x:v>1.0677966101694916</x:v>
      </x:c>
      <x:c r="C27" s="9" t="n">
        <x:f>'Допущения'!C31*'Допущения'!$B$8*'Допущения'!D31*$B27*(1+'Допущения'!$B$13)^1</x:f>
        <x:v>972178.6805084746</x:v>
      </x:c>
      <x:c r="D27" s="9" t="n">
        <x:f>'Допущения'!C32*'Допущения'!$B$8*'Допущения'!D32*$B27*(1+'Допущения'!$B$13)^1</x:f>
        <x:v>41878.46623728813</x:v>
      </x:c>
      <x:c r="E27" s="9" t="n">
        <x:f>'Допущения'!C33*'Допущения'!$B$8*'Допущения'!D33*$B27*(1+'Допущения'!$B$13)^1</x:f>
        <x:v>34898.72186440678</x:v>
      </x:c>
      <x:c r="F27" s="9" t="n">
        <x:f>'Допущения'!C34*'Допущения'!$B$8*'Допущения'!D34*$B27*(1+'Допущения'!$B$13)^1</x:f>
        <x:v>157875.17033898307</x:v>
      </x:c>
      <x:c r="G27" s="9" t="n">
        <x:f>'Допущения'!C35*'Допущения'!$B$8*'Допущения'!D35*$B27*(1+'Допущения'!$B$13)^1</x:f>
        <x:v>251270.7974237288</x:v>
      </x:c>
      <x:c r="H27" s="9" t="n">
        <x:f>'Допущения'!C36*'Допущения'!$B$8*'Допущения'!D36*$B27*(1+'Допущения'!$B$13)^1</x:f>
        <x:v>23265.814576271187</x:v>
      </x:c>
      <x:c r="I27" s="9" t="n">
        <x:f>'Допущения'!C37*'Допущения'!$B$8*'Допущения'!D37*$B27*(1+'Допущения'!$B$13)^1</x:f>
        <x:v>0</x:v>
      </x:c>
      <x:c r="J27" s="7" t="n">
        <x:f>SUM(C27:I27)</x:f>
        <x:v>1481367.6509491524</x:v>
      </x:c>
      <x:c r="K27" s="9" t="n">
        <x:f>J27/(1+'Допущения'!$B$9)</x:f>
        <x:v>1410826.334237288</x:v>
      </x:c>
      <x:c r="L27" s="9" t="n">
        <x:f>C27/(1+'Допущения'!$B$9)*'Допущения'!E31+'Допущения'!C31*'Допущения'!$B$8*$B27*'Допущения'!F31*(1+'Допущения'!$B$14)^1+D27/(1+'Допущения'!$B$9)*'Допущения'!E32+'Допущения'!C32*'Допущения'!$B$8*$B27*'Допущения'!F32*(1+'Допущения'!$B$14)^1+E27/(1+'Допущения'!$B$9)*'Допущения'!E33+'Допущения'!C33*'Допущения'!$B$8*$B27*'Допущения'!F33*(1+'Допущения'!$B$14)^1+F27/(1+'Допущения'!$B$9)*'Допущения'!E34+'Допущения'!C34*'Допущения'!$B$8*$B27*'Допущения'!F34*(1+'Допущения'!$B$14)^1+G27/(1+'Допущения'!$B$9)*'Допущения'!E35+'Допущения'!C35*'Допущения'!$B$8*$B27*'Допущения'!F35*(1+'Допущения'!$B$14)^1+H27/(1+'Допущения'!$B$9)*'Допущения'!E36+'Допущения'!C36*'Допущения'!$B$8*$B27*'Допущения'!F36*(1+'Допущения'!$B$14)^1+I27/(1+'Допущения'!$B$9)*'Допущения'!E37+'Допущения'!C37*'Допущения'!$B$8*$B27*'Допущения'!F37*(1+'Допущения'!$B$14)^1</x:f>
        <x:v>155152.91176271185</x:v>
      </x:c>
      <x:c r="M27" s="9" t="n">
        <x:f>J27*'Допущения'!$B$11</x:f>
        <x:v>29627.35301898305</x:v>
      </x:c>
      <x:c r="N27" s="9" t="n">
        <x:f>'Инвестиции'!$C$35*(1+'Допущения'!$B$14)^1</x:f>
        <x:v>568913.338</x:v>
      </x:c>
      <x:c r="O27" s="9" t="n">
        <x:f>K27*'Допущения'!$B$10</x:f>
        <x:v>84649.58005423727</x:v>
      </x:c>
      <x:c r="P27" s="9" t="n">
        <x:f>K27*'Допущения'!$B$12</x:f>
        <x:v>28216.52668474576</x:v>
      </x:c>
      <x:c r="Q27" s="7" t="n">
        <x:f>K27-L27-M27-N27</x:f>
        <x:v>657132.7314555931</x:v>
      </x:c>
      <x:c r="R27" s="7" t="n">
        <x:f>Q27-O27-P27</x:f>
        <x:v>544266.6247166101</x:v>
      </x:c>
      <x:c r="S27" s="7" t="n">
        <x:f>S26+R27</x:f>
        <x:v>1051396.9435875046</x:v>
      </x:c>
      <x:c r="T27" s="7" t="n">
        <x:f>IF(S27&gt;=0,A27,999)</x:f>
        <x:v>21</x:v>
      </x:c>
      <x:c r="U27" s="22" t="n">
        <x:f>'Допущения'!C31*'Допущения'!$B$8*B27*'Допущения'!$B$17/'Допущения'!$B$18/'Допущения'!$B$16</x:f>
        <x:v>6.600439137134052</x:v>
      </x:c>
      <x:c r="V27" s="7"/>
      <x:c r="W27" s="7"/>
    </x:row>
    <x:row r="28" ht="23" customHeight="1">
      <x:c r="A28" s="1" t="n">
        <x:v>22</x:v>
      </x:c>
      <x:c r="B28" s="17" t="n">
        <x:f>'Допущения'!C51*'Допущения'!D53</x:f>
        <x:v>1.1694915254237286</x:v>
      </x:c>
      <x:c r="C28" s="9" t="n">
        <x:f>'Допущения'!C31*'Допущения'!$B$8*'Допущения'!D31*$B28*(1+'Допущения'!$B$13)^1</x:f>
        <x:v>1064767.1262711862</x:v>
      </x:c>
      <x:c r="D28" s="9" t="n">
        <x:f>'Допущения'!C32*'Допущения'!$B$8*'Допущения'!D32*$B28*(1+'Допущения'!$B$13)^1</x:f>
        <x:v>45866.89159322032</x:v>
      </x:c>
      <x:c r="E28" s="9" t="n">
        <x:f>'Допущения'!C33*'Допущения'!$B$8*'Допущения'!D33*$B28*(1+'Допущения'!$B$13)^1</x:f>
        <x:v>38222.40966101694</x:v>
      </x:c>
      <x:c r="F28" s="9" t="n">
        <x:f>'Допущения'!C34*'Допущения'!$B$8*'Допущения'!D34*$B28*(1+'Допущения'!$B$13)^1</x:f>
        <x:v>172910.9008474576</x:v>
      </x:c>
      <x:c r="G28" s="9" t="n">
        <x:f>'Допущения'!C35*'Допущения'!$B$8*'Допущения'!D35*$B28*(1+'Допущения'!$B$13)^1</x:f>
        <x:v>275201.34955932194</x:v>
      </x:c>
      <x:c r="H28" s="9" t="n">
        <x:f>'Допущения'!C36*'Допущения'!$B$8*'Допущения'!D36*$B28*(1+'Допущения'!$B$13)^1</x:f>
        <x:v>25481.606440677962</x:v>
      </x:c>
      <x:c r="I28" s="9" t="n">
        <x:f>'Допущения'!C37*'Допущения'!$B$8*'Допущения'!D37*$B28*(1+'Допущения'!$B$13)^1</x:f>
        <x:v>0</x:v>
      </x:c>
      <x:c r="J28" s="7" t="n">
        <x:f>SUM(C28:I28)</x:f>
        <x:v>1622450.284372881</x:v>
      </x:c>
      <x:c r="K28" s="9" t="n">
        <x:f>J28/(1+'Допущения'!$B$9)</x:f>
        <x:v>1545190.7470217915</x:v>
      </x:c>
      <x:c r="L28" s="9" t="n">
        <x:f>C28/(1+'Допущения'!$B$9)*'Допущения'!E31+'Допущения'!C31*'Допущения'!$B$8*$B28*'Допущения'!F31*(1+'Допущения'!$B$14)^1+D28/(1+'Допущения'!$B$9)*'Допущения'!E32+'Допущения'!C32*'Допущения'!$B$8*$B28*'Допущения'!F32*(1+'Допущения'!$B$14)^1+E28/(1+'Допущения'!$B$9)*'Допущения'!E33+'Допущения'!C33*'Допущения'!$B$8*$B28*'Допущения'!F33*(1+'Допущения'!$B$14)^1+F28/(1+'Допущения'!$B$9)*'Допущения'!E34+'Допущения'!C34*'Допущения'!$B$8*$B28*'Допущения'!F34*(1+'Допущения'!$B$14)^1+G28/(1+'Допущения'!$B$9)*'Допущения'!E35+'Допущения'!C35*'Допущения'!$B$8*$B28*'Допущения'!F35*(1+'Допущения'!$B$14)^1+H28/(1+'Допущения'!$B$9)*'Допущения'!E36+'Допущения'!C36*'Допущения'!$B$8*$B28*'Допущения'!F36*(1+'Допущения'!$B$14)^1+I28/(1+'Допущения'!$B$9)*'Допущения'!E37+'Допущения'!C37*'Допущения'!$B$8*$B28*'Допущения'!F37*(1+'Допущения'!$B$14)^1</x:f>
        <x:v>169929.37954963674</x:v>
      </x:c>
      <x:c r="M28" s="9" t="n">
        <x:f>J28*'Допущения'!$B$11</x:f>
        <x:v>32449.005687457622</x:v>
      </x:c>
      <x:c r="N28" s="9" t="n">
        <x:f>'Инвестиции'!$C$35*(1+'Допущения'!$B$14)^1</x:f>
        <x:v>568913.338</x:v>
      </x:c>
      <x:c r="O28" s="9" t="n">
        <x:f>K28*'Допущения'!$B$10</x:f>
        <x:v>92711.4448213075</x:v>
      </x:c>
      <x:c r="P28" s="9" t="n">
        <x:f>K28*'Допущения'!$B$12</x:f>
        <x:v>30903.81494043583</x:v>
      </x:c>
      <x:c r="Q28" s="7" t="n">
        <x:f>K28-L28-M28-N28</x:f>
        <x:v>773899.0237846973</x:v>
      </x:c>
      <x:c r="R28" s="7" t="n">
        <x:f>Q28-O28-P28</x:f>
        <x:v>650283.764022954</x:v>
      </x:c>
      <x:c r="S28" s="7" t="n">
        <x:f>S27+R28</x:f>
        <x:v>1701680.7076104586</x:v>
      </x:c>
      <x:c r="T28" s="7" t="n">
        <x:f>IF(S28&gt;=0,A28,999)</x:f>
        <x:v>22</x:v>
      </x:c>
      <x:c r="U28" s="22" t="n">
        <x:f>'Допущения'!C31*'Допущения'!$B$8*B28*'Допущения'!$B$17/'Допущения'!$B$18/'Допущения'!$B$16</x:f>
        <x:v>7.2290523882896744</x:v>
      </x:c>
      <x:c r="V28" s="7"/>
      <x:c r="W28" s="7"/>
    </x:row>
    <x:row r="29" ht="23" customHeight="1">
      <x:c r="A29" s="1" t="n">
        <x:v>23</x:v>
      </x:c>
      <x:c r="B29" s="17" t="n">
        <x:f>'Допущения'!C52*'Допущения'!D53</x:f>
        <x:v>1.2203389830508473</x:v>
      </x:c>
      <x:c r="C29" s="9" t="n">
        <x:f>'Допущения'!C31*'Допущения'!$B$8*'Допущения'!D31*$B29*(1+'Допущения'!$B$13)^1</x:f>
        <x:v>1111061.3491525422</x:v>
      </x:c>
      <x:c r="D29" s="9" t="n">
        <x:f>'Допущения'!C32*'Допущения'!$B$8*'Допущения'!D32*$B29*(1+'Допущения'!$B$13)^1</x:f>
        <x:v>47861.10427118643</x:v>
      </x:c>
      <x:c r="E29" s="9" t="n">
        <x:f>'Допущения'!C33*'Допущения'!$B$8*'Допущения'!D33*$B29*(1+'Допущения'!$B$13)^1</x:f>
        <x:v>39884.25355932203</x:v>
      </x:c>
      <x:c r="F29" s="9" t="n">
        <x:f>'Допущения'!C34*'Допущения'!$B$8*'Допущения'!D34*$B29*(1+'Допущения'!$B$13)^1</x:f>
        <x:v>180428.76610169487</x:v>
      </x:c>
      <x:c r="G29" s="9" t="n">
        <x:f>'Допущения'!C35*'Допущения'!$B$8*'Допущения'!D35*$B29*(1+'Допущения'!$B$13)^1</x:f>
        <x:v>287166.6256271185</x:v>
      </x:c>
      <x:c r="H29" s="9" t="n">
        <x:f>'Допущения'!C36*'Допущения'!$B$8*'Допущения'!D36*$B29*(1+'Допущения'!$B$13)^1</x:f>
        <x:v>26589.502372881354</x:v>
      </x:c>
      <x:c r="I29" s="9" t="n">
        <x:f>'Допущения'!C37*'Допущения'!$B$8*'Допущения'!D37*$B29*(1+'Допущения'!$B$13)^1</x:f>
        <x:v>0</x:v>
      </x:c>
      <x:c r="J29" s="7" t="n">
        <x:f>SUM(C29:I29)</x:f>
        <x:v>1692991.6010847455</x:v>
      </x:c>
      <x:c r="K29" s="9" t="n">
        <x:f>J29/(1+'Допущения'!$B$9)</x:f>
        <x:v>1612372.9534140432</x:v>
      </x:c>
      <x:c r="L29" s="9" t="n">
        <x:f>C29/(1+'Допущения'!$B$9)*'Допущения'!E31+'Допущения'!C31*'Допущения'!$B$8*$B29*'Допущения'!F31*(1+'Допущения'!$B$14)^1+D29/(1+'Допущения'!$B$9)*'Допущения'!E32+'Допущения'!C32*'Допущения'!$B$8*$B29*'Допущения'!F32*(1+'Допущения'!$B$14)^1+E29/(1+'Допущения'!$B$9)*'Допущения'!E33+'Допущения'!C33*'Допущения'!$B$8*$B29*'Допущения'!F33*(1+'Допущения'!$B$14)^1+F29/(1+'Допущения'!$B$9)*'Допущения'!E34+'Допущения'!C34*'Допущения'!$B$8*$B29*'Допущения'!F34*(1+'Допущения'!$B$14)^1+G29/(1+'Допущения'!$B$9)*'Допущения'!E35+'Допущения'!C35*'Допущения'!$B$8*$B29*'Допущения'!F35*(1+'Допущения'!$B$14)^1+H29/(1+'Допущения'!$B$9)*'Допущения'!E36+'Допущения'!C36*'Допущения'!$B$8*$B29*'Допущения'!F36*(1+'Допущения'!$B$14)^1+I29/(1+'Допущения'!$B$9)*'Допущения'!E37+'Допущения'!C37*'Допущения'!$B$8*$B29*'Допущения'!F37*(1+'Допущения'!$B$14)^1</x:f>
        <x:v>177317.6134430992</x:v>
      </x:c>
      <x:c r="M29" s="9" t="n">
        <x:f>J29*'Допущения'!$B$11</x:f>
        <x:v>33859.83202169491</x:v>
      </x:c>
      <x:c r="N29" s="9" t="n">
        <x:f>'Инвестиции'!$C$35*(1+'Допущения'!$B$14)^1</x:f>
        <x:v>568913.338</x:v>
      </x:c>
      <x:c r="O29" s="9" t="n">
        <x:f>K29*'Допущения'!$B$10</x:f>
        <x:v>96742.37720484259</x:v>
      </x:c>
      <x:c r="P29" s="9" t="n">
        <x:f>K29*'Допущения'!$B$12</x:f>
        <x:v>32247.459068280863</x:v>
      </x:c>
      <x:c r="Q29" s="7" t="n">
        <x:f>K29-L29-M29-N29</x:f>
        <x:v>832282.1699492491</x:v>
      </x:c>
      <x:c r="R29" s="7" t="n">
        <x:f>Q29-O29-P29</x:f>
        <x:v>703292.3336761256</x:v>
      </x:c>
      <x:c r="S29" s="7" t="n">
        <x:f>S28+R29</x:f>
        <x:v>2404973.041286584</x:v>
      </x:c>
      <x:c r="T29" s="7" t="n">
        <x:f>IF(S29&gt;=0,A29,999)</x:f>
        <x:v>23</x:v>
      </x:c>
      <x:c r="U29" s="22" t="n">
        <x:f>'Допущения'!C31*'Допущения'!$B$8*B29*'Допущения'!$B$17/'Допущения'!$B$18/'Допущения'!$B$16</x:f>
        <x:v>7.543359013867487</x:v>
      </x:c>
      <x:c r="V29" s="7"/>
      <x:c r="W29" s="7"/>
    </x:row>
    <x:row r="30" ht="23" customHeight="1">
      <x:c r="A30" s="1" t="n">
        <x:v>24</x:v>
      </x:c>
      <x:c r="B30" s="17" t="n">
        <x:f>'Допущения'!C53*'Допущения'!D53</x:f>
        <x:v>1.271186440677966</x:v>
      </x:c>
      <x:c r="C30" s="9" t="n">
        <x:f>'Допущения'!C31*'Допущения'!$B$8*'Допущения'!D31*$B30*(1+'Допущения'!$B$13)^1</x:f>
        <x:v>1157355.5720338982</x:v>
      </x:c>
      <x:c r="D30" s="9" t="n">
        <x:f>'Допущения'!C32*'Допущения'!$B$8*'Допущения'!D32*$B30*(1+'Допущения'!$B$13)^1</x:f>
        <x:v>49855.31694915254</x:v>
      </x:c>
      <x:c r="E30" s="9" t="n">
        <x:f>'Допущения'!C33*'Допущения'!$B$8*'Допущения'!D33*$B30*(1+'Допущения'!$B$13)^1</x:f>
        <x:v>41546.09745762712</x:v>
      </x:c>
      <x:c r="F30" s="9" t="n">
        <x:f>'Допущения'!C34*'Допущения'!$B$8*'Допущения'!D34*$B30*(1+'Допущения'!$B$13)^1</x:f>
        <x:v>187946.6313559322</x:v>
      </x:c>
      <x:c r="G30" s="9" t="n">
        <x:f>'Допущения'!C35*'Допущения'!$B$8*'Допущения'!D35*$B30*(1+'Допущения'!$B$13)^1</x:f>
        <x:v>299131.90169491514</x:v>
      </x:c>
      <x:c r="H30" s="9" t="n">
        <x:f>'Допущения'!C36*'Допущения'!$B$8*'Допущения'!D36*$B30*(1+'Допущения'!$B$13)^1</x:f>
        <x:v>27697.398305084746</x:v>
      </x:c>
      <x:c r="I30" s="9" t="n">
        <x:f>'Допущения'!C37*'Допущения'!$B$8*'Допущения'!D37*$B30*(1+'Допущения'!$B$13)^1</x:f>
        <x:v>0</x:v>
      </x:c>
      <x:c r="J30" s="7" t="n">
        <x:f>SUM(C30:I30)</x:f>
        <x:v>1763532.9177966102</x:v>
      </x:c>
      <x:c r="K30" s="9" t="n">
        <x:f>J30/(1+'Допущения'!$B$9)</x:f>
        <x:v>1679555.1598062953</x:v>
      </x:c>
      <x:c r="L30" s="9" t="n">
        <x:f>C30/(1+'Допущения'!$B$9)*'Допущения'!E31+'Допущения'!C31*'Допущения'!$B$8*$B30*'Допущения'!F31*(1+'Допущения'!$B$14)^1+D30/(1+'Допущения'!$B$9)*'Допущения'!E32+'Допущения'!C32*'Допущения'!$B$8*$B30*'Допущения'!F32*(1+'Допущения'!$B$14)^1+E30/(1+'Допущения'!$B$9)*'Допущения'!E33+'Допущения'!C33*'Допущения'!$B$8*$B30*'Допущения'!F33*(1+'Допущения'!$B$14)^1+F30/(1+'Допущения'!$B$9)*'Допущения'!E34+'Допущения'!C34*'Допущения'!$B$8*$B30*'Допущения'!F34*(1+'Допущения'!$B$14)^1+G30/(1+'Допущения'!$B$9)*'Допущения'!E35+'Допущения'!C35*'Допущения'!$B$8*$B30*'Допущения'!F35*(1+'Допущения'!$B$14)^1+H30/(1+'Допущения'!$B$9)*'Допущения'!E36+'Допущения'!C36*'Допущения'!$B$8*$B30*'Допущения'!F36*(1+'Допущения'!$B$14)^1+I30/(1+'Допущения'!$B$9)*'Допущения'!E37+'Допущения'!C37*'Допущения'!$B$8*$B30*'Допущения'!F37*(1+'Допущения'!$B$14)^1</x:f>
        <x:v>184705.84733656168</x:v>
      </x:c>
      <x:c r="M30" s="9" t="n">
        <x:f>J30*'Допущения'!$B$11</x:f>
        <x:v>35270.6583559322</x:v>
      </x:c>
      <x:c r="N30" s="9" t="n">
        <x:f>'Инвестиции'!$C$35*(1+'Допущения'!$B$14)^1</x:f>
        <x:v>568913.338</x:v>
      </x:c>
      <x:c r="O30" s="9" t="n">
        <x:f>K30*'Допущения'!$B$10</x:f>
        <x:v>100773.30958837771</x:v>
      </x:c>
      <x:c r="P30" s="9" t="n">
        <x:f>K30*'Допущения'!$B$12</x:f>
        <x:v>33591.10319612591</x:v>
      </x:c>
      <x:c r="Q30" s="7" t="n">
        <x:f>K30-L30-M30-N30</x:f>
        <x:v>890665.3161138014</x:v>
      </x:c>
      <x:c r="R30" s="7" t="n">
        <x:f>Q30-O30-P30</x:f>
        <x:v>756300.9033292978</x:v>
      </x:c>
      <x:c r="S30" s="7" t="n">
        <x:f>S29+R30</x:f>
        <x:v>3161273.944615882</x:v>
      </x:c>
      <x:c r="T30" s="7" t="n">
        <x:f>IF(S30&gt;=0,A30,999)</x:f>
        <x:v>24</x:v>
      </x:c>
      <x:c r="U30" s="22" t="n">
        <x:f>'Допущения'!C31*'Допущения'!$B$8*B30*'Допущения'!$B$17/'Допущения'!$B$18/'Допущения'!$B$16</x:f>
        <x:v>7.8576656394453</x:v>
      </x:c>
      <x:c r="V30" s="7"/>
      <x:c r="W30" s="7"/>
    </x:row>
    <x:row r="31" ht="23" customHeight="1">
      <x:c r="A31" s="1" t="n">
        <x:v>25</x:v>
      </x:c>
      <x:c r="B31" s="17" t="n">
        <x:f>'Допущения'!C42*'Допущения'!D53</x:f>
        <x:v>1.1186440677966103</x:v>
      </x:c>
      <x:c r="C31" s="9" t="n">
        <x:f>'Допущения'!C31*'Допущения'!$B$8*'Допущения'!D31*$B31*(1+'Допущения'!$B$13)^2</x:f>
        <x:v>1049027.0904915254</x:v>
      </x:c>
      <x:c r="D31" s="9" t="n">
        <x:f>'Допущения'!C32*'Допущения'!$B$8*'Допущения'!D32*$B31*(1+'Допущения'!$B$13)^2</x:f>
        <x:v>45188.85928271186</x:v>
      </x:c>
      <x:c r="E31" s="9" t="n">
        <x:f>'Допущения'!C33*'Допущения'!$B$8*'Допущения'!D33*$B31*(1+'Допущения'!$B$13)^2</x:f>
        <x:v>37657.38273559322</x:v>
      </x:c>
      <x:c r="F31" s="9" t="n">
        <x:f>'Допущения'!C34*'Допущения'!$B$8*'Допущения'!D34*$B31*(1+'Допущения'!$B$13)^2</x:f>
        <x:v>170354.82666101697</x:v>
      </x:c>
      <x:c r="G31" s="9" t="n">
        <x:f>'Допущения'!C35*'Допущения'!$B$8*'Допущения'!D35*$B31*(1+'Допущения'!$B$13)^2</x:f>
        <x:v>271133.15569627116</x:v>
      </x:c>
      <x:c r="H31" s="9" t="n">
        <x:f>'Допущения'!C36*'Допущения'!$B$8*'Допущения'!D36*$B31*(1+'Допущения'!$B$13)^2</x:f>
        <x:v>25104.921823728815</x:v>
      </x:c>
      <x:c r="I31" s="9" t="n">
        <x:f>'Допущения'!C37*'Допущения'!$B$8*'Допущения'!D37*$B31*(1+'Допущения'!$B$13)^2</x:f>
        <x:v>0</x:v>
      </x:c>
      <x:c r="J31" s="7" t="n">
        <x:f>SUM(C31:I31)</x:f>
        <x:v>1598466.2366908474</x:v>
      </x:c>
      <x:c r="K31" s="9" t="n">
        <x:f>J31/(1+'Допущения'!$B$9)</x:f>
        <x:v>1522348.796848426</x:v>
      </x:c>
      <x:c r="L31" s="9" t="n">
        <x:f>C31/(1+'Допущения'!$B$9)*'Допущения'!E31+'Допущения'!C31*'Допущения'!$B$8*$B31*'Допущения'!F31*(1+'Допущения'!$B$14)^2+D31/(1+'Допущения'!$B$9)*'Допущения'!E32+'Допущения'!C32*'Допущения'!$B$8*$B31*'Допущения'!F32*(1+'Допущения'!$B$14)^2+E31/(1+'Допущения'!$B$9)*'Допущения'!E33+'Допущения'!C33*'Допущения'!$B$8*$B31*'Допущения'!F33*(1+'Допущения'!$B$14)^2+F31/(1+'Допущения'!$B$9)*'Допущения'!E34+'Допущения'!C34*'Допущения'!$B$8*$B31*'Допущения'!F34*(1+'Допущения'!$B$14)^2+G31/(1+'Допущения'!$B$9)*'Допущения'!E35+'Допущения'!C35*'Допущения'!$B$8*$B31*'Допущения'!F35*(1+'Допущения'!$B$14)^2+H31/(1+'Допущения'!$B$9)*'Допущения'!E36+'Допущения'!C36*'Допущения'!$B$8*$B31*'Допущения'!F36*(1+'Допущения'!$B$14)^2+I31/(1+'Допущения'!$B$9)*'Допущения'!E37+'Допущения'!C37*'Допущения'!$B$8*$B31*'Допущения'!F37*(1+'Допущения'!$B$14)^2</x:f>
        <x:v>167417.38002585954</x:v>
      </x:c>
      <x:c r="M31" s="9" t="n">
        <x:f>J31*'Допущения'!$B$11</x:f>
        <x:v>31969.32473381695</x:v>
      </x:c>
      <x:c r="N31" s="9" t="n">
        <x:f>'Инвестиции'!$C$35*(1+'Допущения'!$B$14)^2</x:f>
        <x:v>597359.0049</x:v>
      </x:c>
      <x:c r="O31" s="9" t="n">
        <x:f>K31*'Допущения'!$B$10</x:f>
        <x:v>91340.92781090556</x:v>
      </x:c>
      <x:c r="P31" s="9" t="n">
        <x:f>K31*'Допущения'!$B$12</x:f>
        <x:v>30446.975936968523</x:v>
      </x:c>
      <x:c r="Q31" s="7" t="n">
        <x:f>K31-L31-M31-N31</x:f>
        <x:v>725603.0871887496</x:v>
      </x:c>
      <x:c r="R31" s="7" t="n">
        <x:f>Q31-O31-P31</x:f>
        <x:v>603815.1834408755</x:v>
      </x:c>
      <x:c r="S31" s="7" t="n">
        <x:f>S30+R31</x:f>
        <x:v>3765089.128056757</x:v>
      </x:c>
      <x:c r="T31" s="7" t="n">
        <x:f>IF(S31&gt;=0,A31,999)</x:f>
        <x:v>25</x:v>
      </x:c>
      <x:c r="U31" s="22" t="n">
        <x:f>'Допущения'!C31*'Допущения'!$B$8*B31*'Допущения'!$B$17/'Допущения'!$B$18/'Допущения'!$B$16</x:f>
        <x:v>6.914745762711865</x:v>
      </x:c>
      <x:c r="V31" s="7"/>
      <x:c r="W31" s="7"/>
    </x:row>
    <x:row r="32" ht="23" customHeight="1">
      <x:c r="A32" s="1" t="n">
        <x:v>26</x:v>
      </x:c>
      <x:c r="B32" s="17" t="n">
        <x:f>'Допущения'!C43*'Допущения'!D53</x:f>
        <x:v>1.0677966101694916</x:v>
      </x:c>
      <x:c r="C32" s="9" t="n">
        <x:f>'Допущения'!C31*'Допущения'!$B$8*'Допущения'!D31*$B32*(1+'Допущения'!$B$13)^2</x:f>
        <x:v>1001344.0409237287</x:v>
      </x:c>
      <x:c r="D32" s="9" t="n">
        <x:f>'Допущения'!C32*'Допущения'!$B$8*'Допущения'!D32*$B32*(1+'Допущения'!$B$13)^2</x:f>
        <x:v>43134.82022440677</x:v>
      </x:c>
      <x:c r="E32" s="9" t="n">
        <x:f>'Допущения'!C33*'Допущения'!$B$8*'Допущения'!D33*$B32*(1+'Допущения'!$B$13)^2</x:f>
        <x:v>35945.683520338986</x:v>
      </x:c>
      <x:c r="F32" s="9" t="n">
        <x:f>'Допущения'!C34*'Допущения'!$B$8*'Допущения'!D34*$B32*(1+'Допущения'!$B$13)^2</x:f>
        <x:v>162611.42544915254</x:v>
      </x:c>
      <x:c r="G32" s="9" t="n">
        <x:f>'Допущения'!C35*'Допущения'!$B$8*'Допущения'!D35*$B32*(1+'Допущения'!$B$13)^2</x:f>
        <x:v>258808.92134644062</x:v>
      </x:c>
      <x:c r="H32" s="9" t="n">
        <x:f>'Допущения'!C36*'Допущения'!$B$8*'Допущения'!D36*$B32*(1+'Допущения'!$B$13)^2</x:f>
        <x:v>23963.78901355932</x:v>
      </x:c>
      <x:c r="I32" s="9" t="n">
        <x:f>'Допущения'!C37*'Допущения'!$B$8*'Допущения'!D37*$B32*(1+'Допущения'!$B$13)^2</x:f>
        <x:v>0</x:v>
      </x:c>
      <x:c r="J32" s="7" t="n">
        <x:f>SUM(C32:I32)</x:f>
        <x:v>1525808.6804776269</x:v>
      </x:c>
      <x:c r="K32" s="9" t="n">
        <x:f>J32/(1+'Допущения'!$B$9)</x:f>
        <x:v>1453151.1242644065</x:v>
      </x:c>
      <x:c r="L32" s="9" t="n">
        <x:f>C32/(1+'Допущения'!$B$9)*'Допущения'!E31+'Допущения'!C31*'Допущения'!$B$8*$B32*'Допущения'!F31*(1+'Допущения'!$B$14)^2+D32/(1+'Допущения'!$B$9)*'Допущения'!E32+'Допущения'!C32*'Допущения'!$B$8*$B32*'Допущения'!F32*(1+'Допущения'!$B$14)^2+E32/(1+'Допущения'!$B$9)*'Допущения'!E33+'Допущения'!C33*'Допущения'!$B$8*$B32*'Допущения'!F33*(1+'Допущения'!$B$14)^2+F32/(1+'Допущения'!$B$9)*'Допущения'!E34+'Допущения'!C34*'Допущения'!$B$8*$B32*'Допущения'!F34*(1+'Допущения'!$B$14)^2+G32/(1+'Допущения'!$B$9)*'Допущения'!E35+'Допущения'!C35*'Допущения'!$B$8*$B32*'Допущения'!F35*(1+'Допущения'!$B$14)^2+H32/(1+'Допущения'!$B$9)*'Допущения'!E36+'Допущения'!C36*'Допущения'!$B$8*$B32*'Допущения'!F36*(1+'Допущения'!$B$14)^2+I32/(1+'Допущения'!$B$9)*'Допущения'!E37+'Допущения'!C37*'Допущения'!$B$8*$B32*'Допущения'!F37*(1+'Допущения'!$B$14)^2</x:f>
        <x:v>159807.49911559318</x:v>
      </x:c>
      <x:c r="M32" s="9" t="n">
        <x:f>J32*'Допущения'!$B$11</x:f>
        <x:v>30516.173609552538</x:v>
      </x:c>
      <x:c r="N32" s="9" t="n">
        <x:f>'Инвестиции'!$C$35*(1+'Допущения'!$B$14)^2</x:f>
        <x:v>597359.0049</x:v>
      </x:c>
      <x:c r="O32" s="9" t="n">
        <x:f>K32*'Допущения'!$B$10</x:f>
        <x:v>87189.06745586438</x:v>
      </x:c>
      <x:c r="P32" s="9" t="n">
        <x:f>K32*'Допущения'!$B$12</x:f>
        <x:v>29063.02248528813</x:v>
      </x:c>
      <x:c r="Q32" s="7" t="n">
        <x:f>K32-L32-M32-N32</x:f>
        <x:v>665468.4466392607</x:v>
      </x:c>
      <x:c r="R32" s="7" t="n">
        <x:f>Q32-O32-P32</x:f>
        <x:v>549216.3566981083</x:v>
      </x:c>
      <x:c r="S32" s="7" t="n">
        <x:f>S31+R32</x:f>
        <x:v>4314305.484754865</x:v>
      </x:c>
      <x:c r="T32" s="7" t="n">
        <x:f>IF(S32&gt;=0,A32,999)</x:f>
        <x:v>26</x:v>
      </x:c>
      <x:c r="U32" s="22" t="n">
        <x:f>'Допущения'!C31*'Допущения'!$B$8*B32*'Допущения'!$B$17/'Допущения'!$B$18/'Допущения'!$B$16</x:f>
        <x:v>6.600439137134052</x:v>
      </x:c>
      <x:c r="V32" s="7"/>
      <x:c r="W32" s="7"/>
    </x:row>
    <x:row r="33" ht="23" customHeight="1">
      <x:c r="A33" s="1" t="n">
        <x:v>27</x:v>
      </x:c>
      <x:c r="B33" s="17" t="n">
        <x:f>'Допущения'!C44*'Допущения'!D53</x:f>
        <x:v>1.0169491525423728</x:v>
      </x:c>
      <x:c r="C33" s="9" t="n">
        <x:f>'Допущения'!C31*'Допущения'!$B$8*'Допущения'!D31*$B33*(1+'Допущения'!$B$13)^2</x:f>
        <x:v>953660.991355932</x:v>
      </x:c>
      <x:c r="D33" s="9" t="n">
        <x:f>'Допущения'!C32*'Допущения'!$B$8*'Допущения'!D32*$B33*(1+'Допущения'!$B$13)^2</x:f>
        <x:v>41080.78116610169</x:v>
      </x:c>
      <x:c r="E33" s="9" t="n">
        <x:f>'Допущения'!C33*'Допущения'!$B$8*'Допущения'!D33*$B33*(1+'Допущения'!$B$13)^2</x:f>
        <x:v>34233.98430508474</x:v>
      </x:c>
      <x:c r="F33" s="9" t="n">
        <x:f>'Допущения'!C34*'Допущения'!$B$8*'Допущения'!D34*$B33*(1+'Допущения'!$B$13)^2</x:f>
        <x:v>154868.02423728813</x:v>
      </x:c>
      <x:c r="G33" s="9" t="n">
        <x:f>'Допущения'!C35*'Допущения'!$B$8*'Допущения'!D35*$B33*(1+'Допущения'!$B$13)^2</x:f>
        <x:v>246484.6869966101</x:v>
      </x:c>
      <x:c r="H33" s="9" t="n">
        <x:f>'Допущения'!C36*'Допущения'!$B$8*'Допущения'!D36*$B33*(1+'Допущения'!$B$13)^2</x:f>
        <x:v>22822.65620338983</x:v>
      </x:c>
      <x:c r="I33" s="9" t="n">
        <x:f>'Допущения'!C37*'Допущения'!$B$8*'Допущения'!D37*$B33*(1+'Допущения'!$B$13)^2</x:f>
        <x:v>0</x:v>
      </x:c>
      <x:c r="J33" s="7" t="n">
        <x:f>SUM(C33:I33)</x:f>
        <x:v>1453151.1242644065</x:v>
      </x:c>
      <x:c r="K33" s="9" t="n">
        <x:f>J33/(1+'Допущения'!$B$9)</x:f>
        <x:v>1383953.4516803871</x:v>
      </x:c>
      <x:c r="L33" s="9" t="n">
        <x:f>C33/(1+'Допущения'!$B$9)*'Допущения'!E31+'Допущения'!C31*'Допущения'!$B$8*$B33*'Допущения'!F31*(1+'Допущения'!$B$14)^2+D33/(1+'Допущения'!$B$9)*'Допущения'!E32+'Допущения'!C32*'Допущения'!$B$8*$B33*'Допущения'!F32*(1+'Допущения'!$B$14)^2+E33/(1+'Допущения'!$B$9)*'Допущения'!E33+'Допущения'!C33*'Допущения'!$B$8*$B33*'Допущения'!F33*(1+'Допущения'!$B$14)^2+F33/(1+'Допущения'!$B$9)*'Допущения'!E34+'Допущения'!C34*'Допущения'!$B$8*$B33*'Допущения'!F34*(1+'Допущения'!$B$14)^2+G33/(1+'Допущения'!$B$9)*'Допущения'!E35+'Допущения'!C35*'Допущения'!$B$8*$B33*'Допущения'!F35*(1+'Допущения'!$B$14)^2+H33/(1+'Допущения'!$B$9)*'Допущения'!E36+'Допущения'!C36*'Допущения'!$B$8*$B33*'Допущения'!F36*(1+'Допущения'!$B$14)^2+I33/(1+'Допущения'!$B$9)*'Допущения'!E37+'Допущения'!C37*'Допущения'!$B$8*$B33*'Допущения'!F37*(1+'Допущения'!$B$14)^2</x:f>
        <x:v>152197.6182053268</x:v>
      </x:c>
      <x:c r="M33" s="9" t="n">
        <x:f>J33*'Допущения'!$B$11</x:f>
        <x:v>29063.02248528813</x:v>
      </x:c>
      <x:c r="N33" s="9" t="n">
        <x:f>'Инвестиции'!$C$35*(1+'Допущения'!$B$14)^2</x:f>
        <x:v>597359.0049</x:v>
      </x:c>
      <x:c r="O33" s="9" t="n">
        <x:f>K33*'Допущения'!$B$10</x:f>
        <x:v>83037.20710082323</x:v>
      </x:c>
      <x:c r="P33" s="9" t="n">
        <x:f>K33*'Допущения'!$B$12</x:f>
        <x:v>27679.069033607742</x:v>
      </x:c>
      <x:c r="Q33" s="7" t="n">
        <x:f>K33-L33-M33-N33</x:f>
        <x:v>605333.8060897721</x:v>
      </x:c>
      <x:c r="R33" s="7" t="n">
        <x:f>Q33-O33-P33</x:f>
        <x:v>494617.5299553412</x:v>
      </x:c>
      <x:c r="S33" s="7" t="n">
        <x:f>S32+R33</x:f>
        <x:v>4808923.014710207</x:v>
      </x:c>
      <x:c r="T33" s="7" t="n">
        <x:f>IF(S33&gt;=0,A33,999)</x:f>
        <x:v>27</x:v>
      </x:c>
      <x:c r="U33" s="22" t="n">
        <x:f>'Допущения'!C31*'Допущения'!$B$8*B33*'Допущения'!$B$17/'Допущения'!$B$18/'Допущения'!$B$16</x:f>
        <x:v>6.28613251155624</x:v>
      </x:c>
      <x:c r="V33" s="7"/>
      <x:c r="W33" s="7"/>
    </x:row>
    <x:row r="34" ht="23" customHeight="1">
      <x:c r="A34" s="1" t="n">
        <x:v>28</x:v>
      </x:c>
      <x:c r="B34" s="17" t="n">
        <x:f>'Допущения'!C45*'Допущения'!D53</x:f>
        <x:v>0.9152542372881356</x:v>
      </x:c>
      <x:c r="C34" s="9" t="n">
        <x:f>'Допущения'!C31*'Допущения'!$B$8*'Допущения'!D31*$B34*(1+'Допущения'!$B$13)^2</x:f>
        <x:v>858294.8922203388</x:v>
      </x:c>
      <x:c r="D34" s="9" t="n">
        <x:f>'Допущения'!C32*'Допущения'!$B$8*'Допущения'!D32*$B34*(1+'Допущения'!$B$13)^2</x:f>
        <x:v>36972.70304949152</x:v>
      </x:c>
      <x:c r="E34" s="9" t="n">
        <x:f>'Допущения'!C33*'Допущения'!$B$8*'Допущения'!D33*$B34*(1+'Допущения'!$B$13)^2</x:f>
        <x:v>30810.58587457627</x:v>
      </x:c>
      <x:c r="F34" s="9" t="n">
        <x:f>'Допущения'!C34*'Допущения'!$B$8*'Допущения'!D34*$B34*(1+'Допущения'!$B$13)^2</x:f>
        <x:v>139381.2218135593</x:v>
      </x:c>
      <x:c r="G34" s="9" t="n">
        <x:f>'Допущения'!C35*'Допущения'!$B$8*'Допущения'!D35*$B34*(1+'Допущения'!$B$13)^2</x:f>
        <x:v>221836.2182969491</x:v>
      </x:c>
      <x:c r="H34" s="9" t="n">
        <x:f>'Допущения'!C36*'Допущения'!$B$8*'Допущения'!D36*$B34*(1+'Допущения'!$B$13)^2</x:f>
        <x:v>20540.390583050845</x:v>
      </x:c>
      <x:c r="I34" s="9" t="n">
        <x:f>'Допущения'!C37*'Допущения'!$B$8*'Допущения'!D37*$B34*(1+'Допущения'!$B$13)^2</x:f>
        <x:v>0</x:v>
      </x:c>
      <x:c r="J34" s="7" t="n">
        <x:f>SUM(C34:I34)</x:f>
        <x:v>1307836.0118379658</x:v>
      </x:c>
      <x:c r="K34" s="9" t="n">
        <x:f>J34/(1+'Допущения'!$B$9)</x:f>
        <x:v>1245558.1065123484</x:v>
      </x:c>
      <x:c r="L34" s="9" t="n">
        <x:f>C34/(1+'Допущения'!$B$9)*'Допущения'!E31+'Допущения'!C31*'Допущения'!$B$8*$B34*'Допущения'!F31*(1+'Допущения'!$B$14)^2+D34/(1+'Допущения'!$B$9)*'Допущения'!E32+'Допущения'!C32*'Допущения'!$B$8*$B34*'Допущения'!F32*(1+'Допущения'!$B$14)^2+E34/(1+'Допущения'!$B$9)*'Допущения'!E33+'Допущения'!C33*'Допущения'!$B$8*$B34*'Допущения'!F33*(1+'Допущения'!$B$14)^2+F34/(1+'Допущения'!$B$9)*'Допущения'!E34+'Допущения'!C34*'Допущения'!$B$8*$B34*'Допущения'!F34*(1+'Допущения'!$B$14)^2+G34/(1+'Допущения'!$B$9)*'Допущения'!E35+'Допущения'!C35*'Допущения'!$B$8*$B34*'Допущения'!F35*(1+'Допущения'!$B$14)^2+H34/(1+'Допущения'!$B$9)*'Допущения'!E36+'Допущения'!C36*'Допущения'!$B$8*$B34*'Допущения'!F36*(1+'Допущения'!$B$14)^2+I34/(1+'Допущения'!$B$9)*'Допущения'!E37+'Допущения'!C37*'Допущения'!$B$8*$B34*'Допущения'!F37*(1+'Допущения'!$B$14)^2</x:f>
        <x:v>136977.85638479414</x:v>
      </x:c>
      <x:c r="M34" s="9" t="n">
        <x:f>J34*'Допущения'!$B$11</x:f>
        <x:v>26156.720236759316</x:v>
      </x:c>
      <x:c r="N34" s="9" t="n">
        <x:f>'Инвестиции'!$C$35*(1+'Допущения'!$B$14)^2</x:f>
        <x:v>597359.0049</x:v>
      </x:c>
      <x:c r="O34" s="9" t="n">
        <x:f>K34*'Допущения'!$B$10</x:f>
        <x:v>74733.4863907409</x:v>
      </x:c>
      <x:c r="P34" s="9" t="n">
        <x:f>K34*'Допущения'!$B$12</x:f>
        <x:v>24911.16213024697</x:v>
      </x:c>
      <x:c r="Q34" s="7" t="n">
        <x:f>K34-L34-M34-N34</x:f>
        <x:v>485064.5249907947</x:v>
      </x:c>
      <x:c r="R34" s="7" t="n">
        <x:f>Q34-O34-P34</x:f>
        <x:v>385419.8764698068</x:v>
      </x:c>
      <x:c r="S34" s="7" t="n">
        <x:f>S33+R34</x:f>
        <x:v>5194342.891180013</x:v>
      </x:c>
      <x:c r="T34" s="7" t="n">
        <x:f>IF(S34&gt;=0,A34,999)</x:f>
        <x:v>28</x:v>
      </x:c>
      <x:c r="U34" s="22" t="n">
        <x:f>'Допущения'!C31*'Допущения'!$B$8*B34*'Допущения'!$B$17/'Допущения'!$B$18/'Допущения'!$B$16</x:f>
        <x:v>5.6575192604006155</x:v>
      </x:c>
      <x:c r="V34" s="7"/>
      <x:c r="W34" s="7"/>
    </x:row>
    <x:row r="35" ht="23" customHeight="1">
      <x:c r="A35" s="1" t="n">
        <x:v>29</x:v>
      </x:c>
      <x:c r="B35" s="17" t="n">
        <x:f>'Допущения'!C46*'Допущения'!D53</x:f>
        <x:v>0.8644067796610169</x:v>
      </x:c>
      <x:c r="C35" s="9" t="n">
        <x:f>'Допущения'!C31*'Допущения'!$B$8*'Допущения'!D31*$B35*(1+'Допущения'!$B$13)^2</x:f>
        <x:v>810611.8426525422</x:v>
      </x:c>
      <x:c r="D35" s="9" t="n">
        <x:f>'Допущения'!C32*'Допущения'!$B$8*'Допущения'!D32*$B35*(1+'Допущения'!$B$13)^2</x:f>
        <x:v>34918.66399118643</x:v>
      </x:c>
      <x:c r="E35" s="9" t="n">
        <x:f>'Допущения'!C33*'Допущения'!$B$8*'Допущения'!D33*$B35*(1+'Допущения'!$B$13)^2</x:f>
        <x:v>29098.88665932203</x:v>
      </x:c>
      <x:c r="F35" s="9" t="n">
        <x:f>'Допущения'!C34*'Допущения'!$B$8*'Допущения'!D34*$B35*(1+'Допущения'!$B$13)^2</x:f>
        <x:v>131637.8206016949</x:v>
      </x:c>
      <x:c r="G35" s="9" t="n">
        <x:f>'Допущения'!C35*'Допущения'!$B$8*'Допущения'!D35*$B35*(1+'Допущения'!$B$13)^2</x:f>
        <x:v>209511.98394711857</x:v>
      </x:c>
      <x:c r="H35" s="9" t="n">
        <x:f>'Допущения'!C36*'Допущения'!$B$8*'Допущения'!D36*$B35*(1+'Допущения'!$B$13)^2</x:f>
        <x:v>19399.257772881352</x:v>
      </x:c>
      <x:c r="I35" s="9" t="n">
        <x:f>'Допущения'!C37*'Допущения'!$B$8*'Допущения'!D37*$B35*(1+'Допущения'!$B$13)^2</x:f>
        <x:v>0</x:v>
      </x:c>
      <x:c r="J35" s="7" t="n">
        <x:f>SUM(C35:I35)</x:f>
        <x:v>1235178.4556247455</x:v>
      </x:c>
      <x:c r="K35" s="9" t="n">
        <x:f>J35/(1+'Допущения'!$B$9)</x:f>
        <x:v>1176360.433928329</x:v>
      </x:c>
      <x:c r="L35" s="9" t="n">
        <x:f>C35/(1+'Допущения'!$B$9)*'Допущения'!E31+'Допущения'!C31*'Допущения'!$B$8*$B35*'Допущения'!F31*(1+'Допущения'!$B$14)^2+D35/(1+'Допущения'!$B$9)*'Допущения'!E32+'Допущения'!C32*'Допущения'!$B$8*$B35*'Допущения'!F32*(1+'Допущения'!$B$14)^2+E35/(1+'Допущения'!$B$9)*'Допущения'!E33+'Допущения'!C33*'Допущения'!$B$8*$B35*'Допущения'!F33*(1+'Допущения'!$B$14)^2+F35/(1+'Допущения'!$B$9)*'Допущения'!E34+'Допущения'!C34*'Допущения'!$B$8*$B35*'Допущения'!F34*(1+'Допущения'!$B$14)^2+G35/(1+'Допущения'!$B$9)*'Допущения'!E35+'Допущения'!C35*'Допущения'!$B$8*$B35*'Допущения'!F35*(1+'Допущения'!$B$14)^2+H35/(1+'Допущения'!$B$9)*'Допущения'!E36+'Допущения'!C36*'Допущения'!$B$8*$B35*'Допущения'!F36*(1+'Допущения'!$B$14)^2+I35/(1+'Допущения'!$B$9)*'Допущения'!E37+'Допущения'!C37*'Допущения'!$B$8*$B35*'Допущения'!F37*(1+'Допущения'!$B$14)^2</x:f>
        <x:v>129367.9754745278</x:v>
      </x:c>
      <x:c r="M35" s="9" t="n">
        <x:f>J35*'Допущения'!$B$11</x:f>
        <x:v>24703.569112494908</x:v>
      </x:c>
      <x:c r="N35" s="9" t="n">
        <x:f>'Инвестиции'!$C$35*(1+'Допущения'!$B$14)^2</x:f>
        <x:v>597359.0049</x:v>
      </x:c>
      <x:c r="O35" s="9" t="n">
        <x:f>K35*'Допущения'!$B$10</x:f>
        <x:v>70581.62603569974</x:v>
      </x:c>
      <x:c r="P35" s="9" t="n">
        <x:f>K35*'Допущения'!$B$12</x:f>
        <x:v>23527.20867856658</x:v>
      </x:c>
      <x:c r="Q35" s="7" t="n">
        <x:f>K35-L35-M35-N35</x:f>
        <x:v>424929.88444130623</x:v>
      </x:c>
      <x:c r="R35" s="7" t="n">
        <x:f>Q35-O35-P35</x:f>
        <x:v>330821.04972703994</x:v>
      </x:c>
      <x:c r="S35" s="7" t="n">
        <x:f>S34+R35</x:f>
        <x:v>5525163.940907054</x:v>
      </x:c>
      <x:c r="T35" s="7" t="n">
        <x:f>IF(S35&gt;=0,A35,999)</x:f>
        <x:v>29</x:v>
      </x:c>
      <x:c r="U35" s="22" t="n">
        <x:f>'Допущения'!C31*'Допущения'!$B$8*B35*'Допущения'!$B$17/'Допущения'!$B$18/'Допущения'!$B$16</x:f>
        <x:v>5.3432126348228035</x:v>
      </x:c>
      <x:c r="V35" s="7"/>
      <x:c r="W35" s="7"/>
    </x:row>
    <x:row r="36" ht="23" customHeight="1">
      <x:c r="A36" s="1" t="n">
        <x:v>30</x:v>
      </x:c>
      <x:c r="B36" s="17" t="n">
        <x:f>'Допущения'!C47*'Допущения'!D53</x:f>
        <x:v>0.7118644067796609</x:v>
      </x:c>
      <x:c r="C36" s="9" t="n">
        <x:f>'Допущения'!C31*'Допущения'!$B$8*'Допущения'!D31*$B36*(1+'Допущения'!$B$13)^2</x:f>
        <x:v>667562.6939491524</x:v>
      </x:c>
      <x:c r="D36" s="9" t="n">
        <x:f>'Допущения'!C32*'Допущения'!$B$8*'Допущения'!D32*$B36*(1+'Допущения'!$B$13)^2</x:f>
        <x:v>28756.546816271177</x:v>
      </x:c>
      <x:c r="E36" s="9" t="n">
        <x:f>'Допущения'!C33*'Допущения'!$B$8*'Допущения'!D33*$B36*(1+'Допущения'!$B$13)^2</x:f>
        <x:v>23963.789013559315</x:v>
      </x:c>
      <x:c r="F36" s="9" t="n">
        <x:f>'Допущения'!C34*'Допущения'!$B$8*'Допущения'!D34*$B36*(1+'Допущения'!$B$13)^2</x:f>
        <x:v>108407.61696610168</x:v>
      </x:c>
      <x:c r="G36" s="9" t="n">
        <x:f>'Допущения'!C35*'Допущения'!$B$8*'Допущения'!D35*$B36*(1+'Допущения'!$B$13)^2</x:f>
        <x:v>172539.28089762706</x:v>
      </x:c>
      <x:c r="H36" s="9" t="n">
        <x:f>'Допущения'!C36*'Допущения'!$B$8*'Допущения'!D36*$B36*(1+'Допущения'!$B$13)^2</x:f>
        <x:v>15975.859342372878</x:v>
      </x:c>
      <x:c r="I36" s="9" t="n">
        <x:f>'Допущения'!C37*'Допущения'!$B$8*'Допущения'!D37*$B36*(1+'Допущения'!$B$13)^2</x:f>
        <x:v>0</x:v>
      </x:c>
      <x:c r="J36" s="7" t="n">
        <x:f>SUM(C36:I36)</x:f>
        <x:v>1017205.7869850845</x:v>
      </x:c>
      <x:c r="K36" s="9" t="n">
        <x:f>J36/(1+'Допущения'!$B$9)</x:f>
        <x:v>968767.4161762709</x:v>
      </x:c>
      <x:c r="L36" s="9" t="n">
        <x:f>C36/(1+'Допущения'!$B$9)*'Допущения'!E31+'Допущения'!C31*'Допущения'!$B$8*$B36*'Допущения'!F31*(1+'Допущения'!$B$14)^2+D36/(1+'Допущения'!$B$9)*'Допущения'!E32+'Допущения'!C32*'Допущения'!$B$8*$B36*'Допущения'!F32*(1+'Допущения'!$B$14)^2+E36/(1+'Допущения'!$B$9)*'Допущения'!E33+'Допущения'!C33*'Допущения'!$B$8*$B36*'Допущения'!F33*(1+'Допущения'!$B$14)^2+F36/(1+'Допущения'!$B$9)*'Допущения'!E34+'Допущения'!C34*'Допущения'!$B$8*$B36*'Допущения'!F34*(1+'Допущения'!$B$14)^2+G36/(1+'Допущения'!$B$9)*'Допущения'!E35+'Допущения'!C35*'Допущения'!$B$8*$B36*'Допущения'!F35*(1+'Допущения'!$B$14)^2+H36/(1+'Допущения'!$B$9)*'Допущения'!E36+'Допущения'!C36*'Допущения'!$B$8*$B36*'Допущения'!F36*(1+'Допущения'!$B$14)^2+I36/(1+'Допущения'!$B$9)*'Допущения'!E37+'Допущения'!C37*'Допущения'!$B$8*$B36*'Допущения'!F37*(1+'Допущения'!$B$14)^2</x:f>
        <x:v>106538.33274372878</x:v>
      </x:c>
      <x:c r="M36" s="9" t="n">
        <x:f>J36*'Допущения'!$B$11</x:f>
        <x:v>20344.11573970169</x:v>
      </x:c>
      <x:c r="N36" s="9" t="n">
        <x:f>'Инвестиции'!$C$35*(1+'Допущения'!$B$14)^2</x:f>
        <x:v>597359.0049</x:v>
      </x:c>
      <x:c r="O36" s="9" t="n">
        <x:f>K36*'Допущения'!$B$10</x:f>
        <x:v>58126.04497057625</x:v>
      </x:c>
      <x:c r="P36" s="9" t="n">
        <x:f>K36*'Допущения'!$B$12</x:f>
        <x:v>19375.34832352542</x:v>
      </x:c>
      <x:c r="Q36" s="7" t="n">
        <x:f>K36-L36-M36-N36</x:f>
        <x:v>244525.96279284044</x:v>
      </x:c>
      <x:c r="R36" s="7" t="n">
        <x:f>Q36-O36-P36</x:f>
        <x:v>167024.56949873877</x:v>
      </x:c>
      <x:c r="S36" s="7" t="n">
        <x:f>S35+R36</x:f>
        <x:v>5692188.510405793</x:v>
      </x:c>
      <x:c r="T36" s="7" t="n">
        <x:f>IF(S36&gt;=0,A36,999)</x:f>
        <x:v>30</x:v>
      </x:c>
      <x:c r="U36" s="22" t="n">
        <x:f>'Допущения'!C31*'Допущения'!$B$8*B36*'Допущения'!$B$17/'Допущения'!$B$18/'Допущения'!$B$16</x:f>
        <x:v>4.400292758089368</x:v>
      </x:c>
      <x:c r="V36" s="7"/>
      <x:c r="W36" s="7"/>
    </x:row>
    <x:row r="37" ht="23" customHeight="1">
      <x:c r="A37" s="1" t="n">
        <x:v>31</x:v>
      </x:c>
      <x:c r="B37" s="17" t="n">
        <x:f>'Допущения'!C48*'Допущения'!D53</x:f>
        <x:v>0.7627118644067796</x:v>
      </x:c>
      <x:c r="C37" s="9" t="n">
        <x:f>'Допущения'!C31*'Допущения'!$B$8*'Допущения'!D31*$B37*(1+'Допущения'!$B$13)^2</x:f>
        <x:v>715245.743516949</x:v>
      </x:c>
      <x:c r="D37" s="9" t="n">
        <x:f>'Допущения'!C32*'Допущения'!$B$8*'Допущения'!D32*$B37*(1+'Допущения'!$B$13)^2</x:f>
        <x:v>30810.585874576267</x:v>
      </x:c>
      <x:c r="E37" s="9" t="n">
        <x:f>'Допущения'!C33*'Допущения'!$B$8*'Допущения'!D33*$B37*(1+'Допущения'!$B$13)^2</x:f>
        <x:v>25675.488228813556</x:v>
      </x:c>
      <x:c r="F37" s="9" t="n">
        <x:f>'Допущения'!C34*'Допущения'!$B$8*'Допущения'!D34*$B37*(1+'Допущения'!$B$13)^2</x:f>
        <x:v>116151.01817796609</x:v>
      </x:c>
      <x:c r="G37" s="9" t="n">
        <x:f>'Допущения'!C35*'Допущения'!$B$8*'Допущения'!D35*$B37*(1+'Допущения'!$B$13)^2</x:f>
        <x:v>184863.51524745757</x:v>
      </x:c>
      <x:c r="H37" s="9" t="n">
        <x:f>'Допущения'!C36*'Допущения'!$B$8*'Допущения'!D36*$B37*(1+'Допущения'!$B$13)^2</x:f>
        <x:v>17116.99215254237</x:v>
      </x:c>
      <x:c r="I37" s="9" t="n">
        <x:f>'Допущения'!C37*'Допущения'!$B$8*'Допущения'!D37*$B37*(1+'Допущения'!$B$13)^2</x:f>
        <x:v>0</x:v>
      </x:c>
      <x:c r="J37" s="7" t="n">
        <x:f>SUM(C37:I37)</x:f>
        <x:v>1089863.3431983048</x:v>
      </x:c>
      <x:c r="K37" s="9" t="n">
        <x:f>J37/(1+'Допущения'!$B$9)</x:f>
        <x:v>1037965.0887602902</x:v>
      </x:c>
      <x:c r="L37" s="9" t="n">
        <x:f>C37/(1+'Допущения'!$B$9)*'Допущения'!E31+'Допущения'!C31*'Допущения'!$B$8*$B37*'Допущения'!F31*(1+'Допущения'!$B$14)^2+D37/(1+'Допущения'!$B$9)*'Допущения'!E32+'Допущения'!C32*'Допущения'!$B$8*$B37*'Допущения'!F32*(1+'Допущения'!$B$14)^2+E37/(1+'Допущения'!$B$9)*'Допущения'!E33+'Допущения'!C33*'Допущения'!$B$8*$B37*'Допущения'!F33*(1+'Допущения'!$B$14)^2+F37/(1+'Допущения'!$B$9)*'Допущения'!E34+'Допущения'!C34*'Допущения'!$B$8*$B37*'Допущения'!F34*(1+'Допущения'!$B$14)^2+G37/(1+'Допущения'!$B$9)*'Допущения'!E35+'Допущения'!C35*'Допущения'!$B$8*$B37*'Допущения'!F35*(1+'Допущения'!$B$14)^2+H37/(1+'Допущения'!$B$9)*'Допущения'!E36+'Допущения'!C36*'Допущения'!$B$8*$B37*'Допущения'!F36*(1+'Допущения'!$B$14)^2+I37/(1+'Допущения'!$B$9)*'Допущения'!E37+'Допущения'!C37*'Допущения'!$B$8*$B37*'Допущения'!F37*(1+'Допущения'!$B$14)^2</x:f>
        <x:v>114148.21365399513</x:v>
      </x:c>
      <x:c r="M37" s="9" t="n">
        <x:f>J37*'Допущения'!$B$11</x:f>
        <x:v>21797.266863966095</x:v>
      </x:c>
      <x:c r="N37" s="9" t="n">
        <x:f>'Инвестиции'!$C$35*(1+'Допущения'!$B$14)^2</x:f>
        <x:v>597359.0049</x:v>
      </x:c>
      <x:c r="O37" s="9" t="n">
        <x:f>K37*'Допущения'!$B$10</x:f>
        <x:v>62277.90532561741</x:v>
      </x:c>
      <x:c r="P37" s="9" t="n">
        <x:f>K37*'Допущения'!$B$12</x:f>
        <x:v>20759.301775205804</x:v>
      </x:c>
      <x:c r="Q37" s="7" t="n">
        <x:f>K37-L37-M37-N37</x:f>
        <x:v>304660.6033423289</x:v>
      </x:c>
      <x:c r="R37" s="7" t="n">
        <x:f>Q37-O37-P37</x:f>
        <x:v>221623.39624150572</x:v>
      </x:c>
      <x:c r="S37" s="7" t="n">
        <x:f>S36+R37</x:f>
        <x:v>5913811.9066472985</x:v>
      </x:c>
      <x:c r="T37" s="7" t="n">
        <x:f>IF(S37&gt;=0,A37,999)</x:f>
        <x:v>31</x:v>
      </x:c>
      <x:c r="U37" s="22" t="n">
        <x:f>'Допущения'!C31*'Допущения'!$B$8*B37*'Допущения'!$B$17/'Допущения'!$B$18/'Допущения'!$B$16</x:f>
        <x:v>4.71459938366718</x:v>
      </x:c>
      <x:c r="V37" s="7"/>
      <x:c r="W37" s="7"/>
    </x:row>
    <x:row r="38" ht="23" customHeight="1">
      <x:c r="A38" s="1" t="n">
        <x:v>32</x:v>
      </x:c>
      <x:c r="B38" s="17" t="n">
        <x:f>'Допущения'!C49*'Допущения'!D53</x:f>
        <x:v>0.8135593220338982</x:v>
      </x:c>
      <x:c r="C38" s="9" t="n">
        <x:f>'Допущения'!C31*'Допущения'!$B$8*'Допущения'!D31*$B38*(1+'Допущения'!$B$13)^2</x:f>
        <x:v>762928.7930847456</x:v>
      </x:c>
      <x:c r="D38" s="9" t="n">
        <x:f>'Допущения'!C32*'Допущения'!$B$8*'Допущения'!D32*$B38*(1+'Допущения'!$B$13)^2</x:f>
        <x:v>32864.62493288135</x:v>
      </x:c>
      <x:c r="E38" s="9" t="n">
        <x:f>'Допущения'!C33*'Допущения'!$B$8*'Допущения'!D33*$B38*(1+'Допущения'!$B$13)^2</x:f>
        <x:v>27387.187444067793</x:v>
      </x:c>
      <x:c r="F38" s="9" t="n">
        <x:f>'Допущения'!C34*'Допущения'!$B$8*'Допущения'!D34*$B38*(1+'Допущения'!$B$13)^2</x:f>
        <x:v>123894.4193898305</x:v>
      </x:c>
      <x:c r="G38" s="9" t="n">
        <x:f>'Допущения'!C35*'Допущения'!$B$8*'Допущения'!D35*$B38*(1+'Допущения'!$B$13)^2</x:f>
        <x:v>197187.7495972881</x:v>
      </x:c>
      <x:c r="H38" s="9" t="n">
        <x:f>'Допущения'!C36*'Допущения'!$B$8*'Допущения'!D36*$B38*(1+'Допущения'!$B$13)^2</x:f>
        <x:v>18258.12496271186</x:v>
      </x:c>
      <x:c r="I38" s="9" t="n">
        <x:f>'Допущения'!C37*'Допущения'!$B$8*'Допущения'!D37*$B38*(1+'Допущения'!$B$13)^2</x:f>
        <x:v>0</x:v>
      </x:c>
      <x:c r="J38" s="7" t="n">
        <x:f>SUM(C38:I38)</x:f>
        <x:v>1162520.8994115253</x:v>
      </x:c>
      <x:c r="K38" s="9" t="n">
        <x:f>J38/(1+'Допущения'!$B$9)</x:f>
        <x:v>1107162.76134431</x:v>
      </x:c>
      <x:c r="L38" s="9" t="n">
        <x:f>C38/(1+'Допущения'!$B$9)*'Допущения'!E31+'Допущения'!C31*'Допущения'!$B$8*$B38*'Допущения'!F31*(1+'Допущения'!$B$14)^2+D38/(1+'Допущения'!$B$9)*'Допущения'!E32+'Допущения'!C32*'Допущения'!$B$8*$B38*'Допущения'!F32*(1+'Допущения'!$B$14)^2+E38/(1+'Допущения'!$B$9)*'Допущения'!E33+'Допущения'!C33*'Допущения'!$B$8*$B38*'Допущения'!F33*(1+'Допущения'!$B$14)^2+F38/(1+'Допущения'!$B$9)*'Допущения'!E34+'Допущения'!C34*'Допущения'!$B$8*$B38*'Допущения'!F34*(1+'Допущения'!$B$14)^2+G38/(1+'Допущения'!$B$9)*'Допущения'!E35+'Допущения'!C35*'Допущения'!$B$8*$B38*'Допущения'!F35*(1+'Допущения'!$B$14)^2+H38/(1+'Допущения'!$B$9)*'Допущения'!E36+'Допущения'!C36*'Допущения'!$B$8*$B38*'Допущения'!F36*(1+'Допущения'!$B$14)^2+I38/(1+'Допущения'!$B$9)*'Допущения'!E37+'Допущения'!C37*'Допущения'!$B$8*$B38*'Допущения'!F37*(1+'Допущения'!$B$14)^2</x:f>
        <x:v>121758.09456426147</x:v>
      </x:c>
      <x:c r="M38" s="9" t="n">
        <x:f>J38*'Допущения'!$B$11</x:f>
        <x:v>23250.417988230507</x:v>
      </x:c>
      <x:c r="N38" s="9" t="n">
        <x:f>'Инвестиции'!$C$35*(1+'Допущения'!$B$14)^2</x:f>
        <x:v>597359.0049</x:v>
      </x:c>
      <x:c r="O38" s="9" t="n">
        <x:f>K38*'Допущения'!$B$10</x:f>
        <x:v>66429.76568065859</x:v>
      </x:c>
      <x:c r="P38" s="9" t="n">
        <x:f>K38*'Допущения'!$B$12</x:f>
        <x:v>22143.2552268862</x:v>
      </x:c>
      <x:c r="Q38" s="7" t="n">
        <x:f>K38-L38-M38-N38</x:f>
        <x:v>364795.24389181787</x:v>
      </x:c>
      <x:c r="R38" s="7" t="n">
        <x:f>Q38-O38-P38</x:f>
        <x:v>276222.2229842731</x:v>
      </x:c>
      <x:c r="S38" s="7" t="n">
        <x:f>S37+R38</x:f>
        <x:v>6190034.1296315715</x:v>
      </x:c>
      <x:c r="T38" s="7" t="n">
        <x:f>IF(S38&gt;=0,A38,999)</x:f>
        <x:v>32</x:v>
      </x:c>
      <x:c r="U38" s="22" t="n">
        <x:f>'Допущения'!C31*'Допущения'!$B$8*B38*'Допущения'!$B$17/'Допущения'!$B$18/'Допущения'!$B$16</x:f>
        <x:v>5.028906009244991</x:v>
      </x:c>
      <x:c r="V38" s="7"/>
      <x:c r="W38" s="7"/>
    </x:row>
    <x:row r="39" ht="23" customHeight="1">
      <x:c r="A39" s="1" t="n">
        <x:v>33</x:v>
      </x:c>
      <x:c r="B39" s="17" t="n">
        <x:f>'Допущения'!C50*'Допущения'!D53</x:f>
        <x:v>1.0677966101694916</x:v>
      </x:c>
      <x:c r="C39" s="9" t="n">
        <x:f>'Допущения'!C31*'Допущения'!$B$8*'Допущения'!D31*$B39*(1+'Допущения'!$B$13)^2</x:f>
        <x:v>1001344.0409237287</x:v>
      </x:c>
      <x:c r="D39" s="9" t="n">
        <x:f>'Допущения'!C32*'Допущения'!$B$8*'Допущения'!D32*$B39*(1+'Допущения'!$B$13)^2</x:f>
        <x:v>43134.82022440677</x:v>
      </x:c>
      <x:c r="E39" s="9" t="n">
        <x:f>'Допущения'!C33*'Допущения'!$B$8*'Допущения'!D33*$B39*(1+'Допущения'!$B$13)^2</x:f>
        <x:v>35945.683520338986</x:v>
      </x:c>
      <x:c r="F39" s="9" t="n">
        <x:f>'Допущения'!C34*'Допущения'!$B$8*'Допущения'!D34*$B39*(1+'Допущения'!$B$13)^2</x:f>
        <x:v>162611.42544915254</x:v>
      </x:c>
      <x:c r="G39" s="9" t="n">
        <x:f>'Допущения'!C35*'Допущения'!$B$8*'Допущения'!D35*$B39*(1+'Допущения'!$B$13)^2</x:f>
        <x:v>258808.92134644062</x:v>
      </x:c>
      <x:c r="H39" s="9" t="n">
        <x:f>'Допущения'!C36*'Допущения'!$B$8*'Допущения'!D36*$B39*(1+'Допущения'!$B$13)^2</x:f>
        <x:v>23963.78901355932</x:v>
      </x:c>
      <x:c r="I39" s="9" t="n">
        <x:f>'Допущения'!C37*'Допущения'!$B$8*'Допущения'!D37*$B39*(1+'Допущения'!$B$13)^2</x:f>
        <x:v>0</x:v>
      </x:c>
      <x:c r="J39" s="7" t="n">
        <x:f>SUM(C39:I39)</x:f>
        <x:v>1525808.6804776269</x:v>
      </x:c>
      <x:c r="K39" s="9" t="n">
        <x:f>J39/(1+'Допущения'!$B$9)</x:f>
        <x:v>1453151.1242644065</x:v>
      </x:c>
      <x:c r="L39" s="9" t="n">
        <x:f>C39/(1+'Допущения'!$B$9)*'Допущения'!E31+'Допущения'!C31*'Допущения'!$B$8*$B39*'Допущения'!F31*(1+'Допущения'!$B$14)^2+D39/(1+'Допущения'!$B$9)*'Допущения'!E32+'Допущения'!C32*'Допущения'!$B$8*$B39*'Допущения'!F32*(1+'Допущения'!$B$14)^2+E39/(1+'Допущения'!$B$9)*'Допущения'!E33+'Допущения'!C33*'Допущения'!$B$8*$B39*'Допущения'!F33*(1+'Допущения'!$B$14)^2+F39/(1+'Допущения'!$B$9)*'Допущения'!E34+'Допущения'!C34*'Допущения'!$B$8*$B39*'Допущения'!F34*(1+'Допущения'!$B$14)^2+G39/(1+'Допущения'!$B$9)*'Допущения'!E35+'Допущения'!C35*'Допущения'!$B$8*$B39*'Допущения'!F35*(1+'Допущения'!$B$14)^2+H39/(1+'Допущения'!$B$9)*'Допущения'!E36+'Допущения'!C36*'Допущения'!$B$8*$B39*'Допущения'!F36*(1+'Допущения'!$B$14)^2+I39/(1+'Допущения'!$B$9)*'Допущения'!E37+'Допущения'!C37*'Допущения'!$B$8*$B39*'Допущения'!F37*(1+'Допущения'!$B$14)^2</x:f>
        <x:v>159807.49911559318</x:v>
      </x:c>
      <x:c r="M39" s="9" t="n">
        <x:f>J39*'Допущения'!$B$11</x:f>
        <x:v>30516.173609552538</x:v>
      </x:c>
      <x:c r="N39" s="9" t="n">
        <x:f>'Инвестиции'!$C$35*(1+'Допущения'!$B$14)^2</x:f>
        <x:v>597359.0049</x:v>
      </x:c>
      <x:c r="O39" s="9" t="n">
        <x:f>K39*'Допущения'!$B$10</x:f>
        <x:v>87189.06745586438</x:v>
      </x:c>
      <x:c r="P39" s="9" t="n">
        <x:f>K39*'Допущения'!$B$12</x:f>
        <x:v>29063.02248528813</x:v>
      </x:c>
      <x:c r="Q39" s="7" t="n">
        <x:f>K39-L39-M39-N39</x:f>
        <x:v>665468.4466392607</x:v>
      </x:c>
      <x:c r="R39" s="7" t="n">
        <x:f>Q39-O39-P39</x:f>
        <x:v>549216.3566981083</x:v>
      </x:c>
      <x:c r="S39" s="7" t="n">
        <x:f>S38+R39</x:f>
        <x:v>6739250.486329679</x:v>
      </x:c>
      <x:c r="T39" s="7" t="n">
        <x:f>IF(S39&gt;=0,A39,999)</x:f>
        <x:v>33</x:v>
      </x:c>
      <x:c r="U39" s="22" t="n">
        <x:f>'Допущения'!C31*'Допущения'!$B$8*B39*'Допущения'!$B$17/'Допущения'!$B$18/'Допущения'!$B$16</x:f>
        <x:v>6.600439137134052</x:v>
      </x:c>
      <x:c r="V39" s="7"/>
      <x:c r="W39" s="7"/>
    </x:row>
    <x:row r="40" ht="23" customHeight="1">
      <x:c r="A40" s="1" t="n">
        <x:v>34</x:v>
      </x:c>
      <x:c r="B40" s="17" t="n">
        <x:f>'Допущения'!C51*'Допущения'!D53</x:f>
        <x:v>1.1694915254237286</x:v>
      </x:c>
      <x:c r="C40" s="9" t="n">
        <x:f>'Допущения'!C31*'Допущения'!$B$8*'Допущения'!D31*$B40*(1+'Допущения'!$B$13)^2</x:f>
        <x:v>1096710.1400593217</x:v>
      </x:c>
      <x:c r="D40" s="9" t="n">
        <x:f>'Допущения'!C32*'Допущения'!$B$8*'Допущения'!D32*$B40*(1+'Допущения'!$B$13)^2</x:f>
        <x:v>47242.89834101693</x:v>
      </x:c>
      <x:c r="E40" s="9" t="n">
        <x:f>'Допущения'!C33*'Допущения'!$B$8*'Допущения'!D33*$B40*(1+'Допущения'!$B$13)^2</x:f>
        <x:v>39369.081950847445</x:v>
      </x:c>
      <x:c r="F40" s="9" t="n">
        <x:f>'Допущения'!C34*'Допущения'!$B$8*'Допущения'!D34*$B40*(1+'Допущения'!$B$13)^2</x:f>
        <x:v>178098.22787288134</x:v>
      </x:c>
      <x:c r="G40" s="9" t="n">
        <x:f>'Допущения'!C35*'Допущения'!$B$8*'Допущения'!D35*$B40*(1+'Допущения'!$B$13)^2</x:f>
        <x:v>283457.3900461016</x:v>
      </x:c>
      <x:c r="H40" s="9" t="n">
        <x:f>'Допущения'!C36*'Допущения'!$B$8*'Допущения'!D36*$B40*(1+'Допущения'!$B$13)^2</x:f>
        <x:v>26246.0546338983</x:v>
      </x:c>
      <x:c r="I40" s="9" t="n">
        <x:f>'Допущения'!C37*'Допущения'!$B$8*'Допущения'!D37*$B40*(1+'Допущения'!$B$13)^2</x:f>
        <x:v>0</x:v>
      </x:c>
      <x:c r="J40" s="7" t="n">
        <x:f>SUM(C40:I40)</x:f>
        <x:v>1671123.792904067</x:v>
      </x:c>
      <x:c r="K40" s="9" t="n">
        <x:f>J40/(1+'Допущения'!$B$9)</x:f>
        <x:v>1591546.4694324448</x:v>
      </x:c>
      <x:c r="L40" s="9" t="n">
        <x:f>C40/(1+'Допущения'!$B$9)*'Допущения'!E31+'Допущения'!C31*'Допущения'!$B$8*$B40*'Допущения'!F31*(1+'Допущения'!$B$14)^2+D40/(1+'Допущения'!$B$9)*'Допущения'!E32+'Допущения'!C32*'Допущения'!$B$8*$B40*'Допущения'!F32*(1+'Допущения'!$B$14)^2+E40/(1+'Допущения'!$B$9)*'Допущения'!E33+'Допущения'!C33*'Допущения'!$B$8*$B40*'Допущения'!F33*(1+'Допущения'!$B$14)^2+F40/(1+'Допущения'!$B$9)*'Допущения'!E34+'Допущения'!C34*'Допущения'!$B$8*$B40*'Допущения'!F34*(1+'Допущения'!$B$14)^2+G40/(1+'Допущения'!$B$9)*'Допущения'!E35+'Допущения'!C35*'Допущения'!$B$8*$B40*'Допущения'!F35*(1+'Допущения'!$B$14)^2+H40/(1+'Допущения'!$B$9)*'Допущения'!E36+'Допущения'!C36*'Допущения'!$B$8*$B40*'Допущения'!F36*(1+'Допущения'!$B$14)^2+I40/(1+'Допущения'!$B$9)*'Допущения'!E37+'Допущения'!C37*'Допущения'!$B$8*$B40*'Допущения'!F37*(1+'Допущения'!$B$14)^2</x:f>
        <x:v>175027.26093612582</x:v>
      </x:c>
      <x:c r="M40" s="9" t="n">
        <x:f>J40*'Допущения'!$B$11</x:f>
        <x:v>33422.47585808134</x:v>
      </x:c>
      <x:c r="N40" s="9" t="n">
        <x:f>'Инвестиции'!$C$35*(1+'Допущения'!$B$14)^2</x:f>
        <x:v>597359.0049</x:v>
      </x:c>
      <x:c r="O40" s="9" t="n">
        <x:f>K40*'Допущения'!$B$10</x:f>
        <x:v>95492.78816594668</x:v>
      </x:c>
      <x:c r="P40" s="9" t="n">
        <x:f>K40*'Допущения'!$B$12</x:f>
        <x:v>31830.929388648896</x:v>
      </x:c>
      <x:c r="Q40" s="7" t="n">
        <x:f>K40-L40-M40-N40</x:f>
        <x:v>785737.7277382375</x:v>
      </x:c>
      <x:c r="R40" s="7" t="n">
        <x:f>Q40-O40-P40</x:f>
        <x:v>658414.0101836418</x:v>
      </x:c>
      <x:c r="S40" s="7" t="n">
        <x:f>S39+R40</x:f>
        <x:v>7397664.496513321</x:v>
      </x:c>
      <x:c r="T40" s="7" t="n">
        <x:f>IF(S40&gt;=0,A40,999)</x:f>
        <x:v>34</x:v>
      </x:c>
      <x:c r="U40" s="22" t="n">
        <x:f>'Допущения'!C31*'Допущения'!$B$8*B40*'Допущения'!$B$17/'Допущения'!$B$18/'Допущения'!$B$16</x:f>
        <x:v>7.2290523882896744</x:v>
      </x:c>
      <x:c r="V40" s="7"/>
      <x:c r="W40" s="7"/>
    </x:row>
    <x:row r="41" ht="23" customHeight="1">
      <x:c r="A41" s="1" t="n">
        <x:v>35</x:v>
      </x:c>
      <x:c r="B41" s="17" t="n">
        <x:f>'Допущения'!C52*'Допущения'!D53</x:f>
        <x:v>1.2203389830508473</x:v>
      </x:c>
      <x:c r="C41" s="9" t="n">
        <x:f>'Допущения'!C31*'Допущения'!$B$8*'Допущения'!D31*$B41*(1+'Допущения'!$B$13)^2</x:f>
        <x:v>1144393.1896271182</x:v>
      </x:c>
      <x:c r="D41" s="9" t="n">
        <x:f>'Допущения'!C32*'Допущения'!$B$8*'Допущения'!D32*$B41*(1+'Допущения'!$B$13)^2</x:f>
        <x:v>49296.93739932202</x:v>
      </x:c>
      <x:c r="E41" s="9" t="n">
        <x:f>'Допущения'!C33*'Допущения'!$B$8*'Допущения'!D33*$B41*(1+'Допущения'!$B$13)^2</x:f>
        <x:v>41080.78116610169</x:v>
      </x:c>
      <x:c r="F41" s="9" t="n">
        <x:f>'Допущения'!C34*'Допущения'!$B$8*'Допущения'!D34*$B41*(1+'Допущения'!$B$13)^2</x:f>
        <x:v>185841.6290847457</x:v>
      </x:c>
      <x:c r="G41" s="9" t="n">
        <x:f>'Допущения'!C35*'Допущения'!$B$8*'Допущения'!D35*$B41*(1+'Допущения'!$B$13)^2</x:f>
        <x:v>295781.6243959321</x:v>
      </x:c>
      <x:c r="H41" s="9" t="n">
        <x:f>'Допущения'!C36*'Допущения'!$B$8*'Допущения'!D36*$B41*(1+'Допущения'!$B$13)^2</x:f>
        <x:v>27387.187444067793</x:v>
      </x:c>
      <x:c r="I41" s="9" t="n">
        <x:f>'Допущения'!C37*'Допущения'!$B$8*'Допущения'!D37*$B41*(1+'Допущения'!$B$13)^2</x:f>
        <x:v>0</x:v>
      </x:c>
      <x:c r="J41" s="7" t="n">
        <x:f>SUM(C41:I41)</x:f>
        <x:v>1743781.3491172874</x:v>
      </x:c>
      <x:c r="K41" s="9" t="n">
        <x:f>J41/(1+'Допущения'!$B$9)</x:f>
        <x:v>1660744.1420164641</x:v>
      </x:c>
      <x:c r="L41" s="9" t="n">
        <x:f>C41/(1+'Допущения'!$B$9)*'Допущения'!E31+'Допущения'!C31*'Допущения'!$B$8*$B41*'Допущения'!F31*(1+'Допущения'!$B$14)^2+D41/(1+'Допущения'!$B$9)*'Допущения'!E32+'Допущения'!C32*'Допущения'!$B$8*$B41*'Допущения'!F32*(1+'Допущения'!$B$14)^2+E41/(1+'Допущения'!$B$9)*'Допущения'!E33+'Допущения'!C33*'Допущения'!$B$8*$B41*'Допущения'!F33*(1+'Допущения'!$B$14)^2+F41/(1+'Допущения'!$B$9)*'Допущения'!E34+'Допущения'!C34*'Допущения'!$B$8*$B41*'Допущения'!F34*(1+'Допущения'!$B$14)^2+G41/(1+'Допущения'!$B$9)*'Допущения'!E35+'Допущения'!C35*'Допущения'!$B$8*$B41*'Допущения'!F35*(1+'Допущения'!$B$14)^2+H41/(1+'Допущения'!$B$9)*'Допущения'!E36+'Допущения'!C36*'Допущения'!$B$8*$B41*'Допущения'!F36*(1+'Допущения'!$B$14)^2+I41/(1+'Допущения'!$B$9)*'Допущения'!E37+'Допущения'!C37*'Допущения'!$B$8*$B41*'Допущения'!F37*(1+'Допущения'!$B$14)^2</x:f>
        <x:v>182637.14184639216</x:v>
      </x:c>
      <x:c r="M41" s="9" t="n">
        <x:f>J41*'Допущения'!$B$11</x:f>
        <x:v>34875.62698234575</x:v>
      </x:c>
      <x:c r="N41" s="9" t="n">
        <x:f>'Инвестиции'!$C$35*(1+'Допущения'!$B$14)^2</x:f>
        <x:v>597359.0049</x:v>
      </x:c>
      <x:c r="O41" s="9" t="n">
        <x:f>K41*'Допущения'!$B$10</x:f>
        <x:v>99644.64852098784</x:v>
      </x:c>
      <x:c r="P41" s="9" t="n">
        <x:f>K41*'Допущения'!$B$12</x:f>
        <x:v>33214.88284032929</x:v>
      </x:c>
      <x:c r="Q41" s="7" t="n">
        <x:f>K41-L41-M41-N41</x:f>
        <x:v>845872.3682877263</x:v>
      </x:c>
      <x:c r="R41" s="7" t="n">
        <x:f>Q41-O41-P41</x:f>
        <x:v>713012.8369264092</x:v>
      </x:c>
      <x:c r="S41" s="7" t="n">
        <x:f>S40+R41</x:f>
        <x:v>8110677.33343973</x:v>
      </x:c>
      <x:c r="T41" s="7" t="n">
        <x:f>IF(S41&gt;=0,A41,999)</x:f>
        <x:v>35</x:v>
      </x:c>
      <x:c r="U41" s="22" t="n">
        <x:f>'Допущения'!C31*'Допущения'!$B$8*B41*'Допущения'!$B$17/'Допущения'!$B$18/'Допущения'!$B$16</x:f>
        <x:v>7.543359013867487</x:v>
      </x:c>
      <x:c r="V41" s="7"/>
      <x:c r="W41" s="7"/>
    </x:row>
    <x:row r="42" ht="23" customHeight="1">
      <x:c r="A42" s="1" t="n">
        <x:v>36</x:v>
      </x:c>
      <x:c r="B42" s="17" t="n">
        <x:f>'Допущения'!C53*'Допущения'!D53</x:f>
        <x:v>1.271186440677966</x:v>
      </x:c>
      <x:c r="C42" s="9" t="n">
        <x:f>'Допущения'!C31*'Допущения'!$B$8*'Допущения'!D31*$B42*(1+'Допущения'!$B$13)^2</x:f>
        <x:v>1192076.2391949152</x:v>
      </x:c>
      <x:c r="D42" s="9" t="n">
        <x:f>'Допущения'!C32*'Допущения'!$B$8*'Допущения'!D32*$B42*(1+'Допущения'!$B$13)^2</x:f>
        <x:v>51350.97645762711</x:v>
      </x:c>
      <x:c r="E42" s="9" t="n">
        <x:f>'Допущения'!C33*'Допущения'!$B$8*'Допущения'!D33*$B42*(1+'Допущения'!$B$13)^2</x:f>
        <x:v>42792.48038135593</x:v>
      </x:c>
      <x:c r="F42" s="9" t="n">
        <x:f>'Допущения'!C34*'Допущения'!$B$8*'Допущения'!D34*$B42*(1+'Допущения'!$B$13)^2</x:f>
        <x:v>193585.03029661014</x:v>
      </x:c>
      <x:c r="G42" s="9" t="n">
        <x:f>'Допущения'!C35*'Допущения'!$B$8*'Допущения'!D35*$B42*(1+'Допущения'!$B$13)^2</x:f>
        <x:v>308105.8587457626</x:v>
      </x:c>
      <x:c r="H42" s="9" t="n">
        <x:f>'Допущения'!C36*'Допущения'!$B$8*'Допущения'!D36*$B42*(1+'Допущения'!$B$13)^2</x:f>
        <x:v>28528.320254237286</x:v>
      </x:c>
      <x:c r="I42" s="9" t="n">
        <x:f>'Допущения'!C37*'Допущения'!$B$8*'Допущения'!D37*$B42*(1+'Допущения'!$B$13)^2</x:f>
        <x:v>0</x:v>
      </x:c>
      <x:c r="J42" s="7" t="n">
        <x:f>SUM(C42:I42)</x:f>
        <x:v>1816438.9053305082</x:v>
      </x:c>
      <x:c r="K42" s="9" t="n">
        <x:f>J42/(1+'Допущения'!$B$9)</x:f>
        <x:v>1729941.814600484</x:v>
      </x:c>
      <x:c r="L42" s="9" t="n">
        <x:f>C42/(1+'Допущения'!$B$9)*'Допущения'!E31+'Допущения'!C31*'Допущения'!$B$8*$B42*'Допущения'!F31*(1+'Допущения'!$B$14)^2+D42/(1+'Допущения'!$B$9)*'Допущения'!E32+'Допущения'!C32*'Допущения'!$B$8*$B42*'Допущения'!F32*(1+'Допущения'!$B$14)^2+E42/(1+'Допущения'!$B$9)*'Допущения'!E33+'Допущения'!C33*'Допущения'!$B$8*$B42*'Допущения'!F33*(1+'Допущения'!$B$14)^2+F42/(1+'Допущения'!$B$9)*'Допущения'!E34+'Допущения'!C34*'Допущения'!$B$8*$B42*'Допущения'!F34*(1+'Допущения'!$B$14)^2+G42/(1+'Допущения'!$B$9)*'Допущения'!E35+'Допущения'!C35*'Допущения'!$B$8*$B42*'Допущения'!F35*(1+'Допущения'!$B$14)^2+H42/(1+'Допущения'!$B$9)*'Допущения'!E36+'Допущения'!C36*'Допущения'!$B$8*$B42*'Допущения'!F36*(1+'Допущения'!$B$14)^2+I42/(1+'Допущения'!$B$9)*'Допущения'!E37+'Допущения'!C37*'Допущения'!$B$8*$B42*'Допущения'!F37*(1+'Допущения'!$B$14)^2</x:f>
        <x:v>190247.02275665855</x:v>
      </x:c>
      <x:c r="M42" s="9" t="n">
        <x:f>J42*'Допущения'!$B$11</x:f>
        <x:v>36328.77810661017</x:v>
      </x:c>
      <x:c r="N42" s="9" t="n">
        <x:f>'Инвестиции'!$C$35*(1+'Допущения'!$B$14)^2</x:f>
        <x:v>597359.0049</x:v>
      </x:c>
      <x:c r="O42" s="9" t="n">
        <x:f>K42*'Допущения'!$B$10</x:f>
        <x:v>103796.50887602904</x:v>
      </x:c>
      <x:c r="P42" s="9" t="n">
        <x:f>K42*'Допущения'!$B$12</x:f>
        <x:v>34598.83629200968</x:v>
      </x:c>
      <x:c r="Q42" s="7" t="n">
        <x:f>K42-L42-M42-N42</x:f>
        <x:v>906007.0088372154</x:v>
      </x:c>
      <x:c r="R42" s="7" t="n">
        <x:f>Q42-O42-P42</x:f>
        <x:v>767611.6636691766</x:v>
      </x:c>
      <x:c r="S42" s="7" t="n">
        <x:f>S41+R42</x:f>
        <x:v>8878288.997108907</x:v>
      </x:c>
      <x:c r="T42" s="7" t="n">
        <x:f>IF(S42&gt;=0,A42,999)</x:f>
        <x:v>36</x:v>
      </x:c>
      <x:c r="U42" s="22" t="n">
        <x:f>'Допущения'!C31*'Допущения'!$B$8*B42*'Допущения'!$B$17/'Допущения'!$B$18/'Допущения'!$B$16</x:f>
        <x:v>7.8576656394453</x:v>
      </x:c>
      <x:c r="V42" s="7"/>
      <x:c r="W42" s="7"/>
    </x:row>
    <x:row r="43" ht="23" customHeight="1">
      <x:c r="A43" s="1" t="n">
        <x:v>37</x:v>
      </x:c>
      <x:c r="B43" s="17" t="n">
        <x:f>'Допущения'!C42*'Допущения'!D53</x:f>
        <x:v>1.1186440677966103</x:v>
      </x:c>
      <x:c r="C43" s="9" t="n">
        <x:f>'Допущения'!C31*'Допущения'!$B$8*'Допущения'!D31*$B43*(1+'Допущения'!$B$13)^3</x:f>
        <x:v>1080497.9032062711</x:v>
      </x:c>
      <x:c r="D43" s="9" t="n">
        <x:f>'Допущения'!C32*'Допущения'!$B$8*'Допущения'!D32*$B43*(1+'Допущения'!$B$13)^3</x:f>
        <x:v>46544.52506119322</x:v>
      </x:c>
      <x:c r="E43" s="9" t="n">
        <x:f>'Допущения'!C33*'Допущения'!$B$8*'Допущения'!D33*$B43*(1+'Допущения'!$B$13)^3</x:f>
        <x:v>38787.10421766102</x:v>
      </x:c>
      <x:c r="F43" s="9" t="n">
        <x:f>'Допущения'!C34*'Допущения'!$B$8*'Допущения'!D34*$B43*(1+'Допущения'!$B$13)^3</x:f>
        <x:v>175465.47146084748</x:v>
      </x:c>
      <x:c r="G43" s="9" t="n">
        <x:f>'Допущения'!C35*'Допущения'!$B$8*'Допущения'!D35*$B43*(1+'Допущения'!$B$13)^3</x:f>
        <x:v>279267.15036715934</x:v>
      </x:c>
      <x:c r="H43" s="9" t="n">
        <x:f>'Допущения'!C36*'Допущения'!$B$8*'Допущения'!D36*$B43*(1+'Допущения'!$B$13)^3</x:f>
        <x:v>25858.06947844068</x:v>
      </x:c>
      <x:c r="I43" s="9" t="n">
        <x:f>'Допущения'!C37*'Допущения'!$B$8*'Допущения'!D37*$B43*(1+'Допущения'!$B$13)^3</x:f>
        <x:v>0</x:v>
      </x:c>
      <x:c r="J43" s="7" t="n">
        <x:f>SUM(C43:I43)</x:f>
        <x:v>1646420.2237915727</x:v>
      </x:c>
      <x:c r="K43" s="9" t="n">
        <x:f>J43/(1+'Допущения'!$B$9)</x:f>
        <x:v>1568019.2607538786</x:v>
      </x:c>
      <x:c r="L43" s="9" t="n">
        <x:f>C43/(1+'Допущения'!$B$9)*'Допущения'!E31+'Допущения'!C31*'Допущения'!$B$8*$B43*'Допущения'!F31*(1+'Допущения'!$B$14)^3+D43/(1+'Допущения'!$B$9)*'Допущения'!E32+'Допущения'!C32*'Допущения'!$B$8*$B43*'Допущения'!F32*(1+'Допущения'!$B$14)^3+E43/(1+'Допущения'!$B$9)*'Допущения'!E33+'Допущения'!C33*'Допущения'!$B$8*$B43*'Допущения'!F33*(1+'Допущения'!$B$14)^3+F43/(1+'Допущения'!$B$9)*'Допущения'!E34+'Допущения'!C34*'Допущения'!$B$8*$B43*'Допущения'!F34*(1+'Допущения'!$B$14)^3+G43/(1+'Допущения'!$B$9)*'Допущения'!E35+'Допущения'!C35*'Допущения'!$B$8*$B43*'Допущения'!F35*(1+'Допущения'!$B$14)^3+H43/(1+'Допущения'!$B$9)*'Допущения'!E36+'Допущения'!C36*'Допущения'!$B$8*$B43*'Допущения'!F36*(1+'Допущения'!$B$14)^3+I43/(1+'Допущения'!$B$9)*'Допущения'!E37+'Допущения'!C37*'Допущения'!$B$8*$B43*'Допущения'!F37*(1+'Допущения'!$B$14)^3</x:f>
        <x:v>172439.90142663533</x:v>
      </x:c>
      <x:c r="M43" s="9" t="n">
        <x:f>J43*'Допущения'!$B$11</x:f>
        <x:v>32928.404475831456</x:v>
      </x:c>
      <x:c r="N43" s="9" t="n">
        <x:f>'Инвестиции'!$C$35*(1+'Допущения'!$B$14)^3</x:f>
        <x:v>627226.9551450001</x:v>
      </x:c>
      <x:c r="O43" s="9" t="n">
        <x:f>K43*'Допущения'!$B$10</x:f>
        <x:v>94081.15564523272</x:v>
      </x:c>
      <x:c r="P43" s="9" t="n">
        <x:f>K43*'Допущения'!$B$12</x:f>
        <x:v>31360.385215077575</x:v>
      </x:c>
      <x:c r="Q43" s="7" t="n">
        <x:f>K43-L43-M43-N43</x:f>
        <x:v>735423.9997064116</x:v>
      </x:c>
      <x:c r="R43" s="7" t="n">
        <x:f>Q43-O43-P43</x:f>
        <x:v>609982.4588461013</x:v>
      </x:c>
      <x:c r="S43" s="7" t="n">
        <x:f>S42+R43</x:f>
        <x:v>9488271.455955008</x:v>
      </x:c>
      <x:c r="T43" s="7" t="n">
        <x:f>IF(S43&gt;=0,A43,999)</x:f>
        <x:v>37</x:v>
      </x:c>
      <x:c r="U43" s="22" t="n">
        <x:f>'Допущения'!C31*'Допущения'!$B$8*B43*'Допущения'!$B$17/'Допущения'!$B$18/'Допущения'!$B$16</x:f>
        <x:v>6.914745762711865</x:v>
      </x:c>
      <x:c r="V43" s="7"/>
      <x:c r="W43" s="7"/>
    </x:row>
    <x:row r="44" ht="23" customHeight="1">
      <x:c r="A44" s="1" t="n">
        <x:v>38</x:v>
      </x:c>
      <x:c r="B44" s="17" t="n">
        <x:f>'Допущения'!C43*'Допущения'!D53</x:f>
        <x:v>1.0677966101694916</x:v>
      </x:c>
      <x:c r="C44" s="9" t="n">
        <x:f>'Допущения'!C31*'Допущения'!$B$8*'Допущения'!D31*$B44*(1+'Допущения'!$B$13)^3</x:f>
        <x:v>1031384.3621514407</x:v>
      </x:c>
      <x:c r="D44" s="9" t="n">
        <x:f>'Допущения'!C32*'Допущения'!$B$8*'Допущения'!D32*$B44*(1+'Допущения'!$B$13)^3</x:f>
        <x:v>44428.86483113898</x:v>
      </x:c>
      <x:c r="E44" s="9" t="n">
        <x:f>'Допущения'!C33*'Допущения'!$B$8*'Допущения'!D33*$B44*(1+'Допущения'!$B$13)^3</x:f>
        <x:v>37024.05402594915</x:v>
      </x:c>
      <x:c r="F44" s="9" t="n">
        <x:f>'Допущения'!C34*'Допущения'!$B$8*'Допущения'!D34*$B44*(1+'Допущения'!$B$13)^3</x:f>
        <x:v>167489.76821262712</x:v>
      </x:c>
      <x:c r="G44" s="9" t="n">
        <x:f>'Допущения'!C35*'Допущения'!$B$8*'Допущения'!D35*$B44*(1+'Допущения'!$B$13)^3</x:f>
        <x:v>266573.18898683385</x:v>
      </x:c>
      <x:c r="H44" s="9" t="n">
        <x:f>'Допущения'!C36*'Допущения'!$B$8*'Допущения'!D36*$B44*(1+'Допущения'!$B$13)^3</x:f>
        <x:v>24682.7026839661</x:v>
      </x:c>
      <x:c r="I44" s="9" t="n">
        <x:f>'Допущения'!C37*'Допущения'!$B$8*'Допущения'!D37*$B44*(1+'Допущения'!$B$13)^3</x:f>
        <x:v>0</x:v>
      </x:c>
      <x:c r="J44" s="7" t="n">
        <x:f>SUM(C44:I44)</x:f>
        <x:v>1571582.940891956</x:v>
      </x:c>
      <x:c r="K44" s="9" t="n">
        <x:f>J44/(1+'Допущения'!$B$9)</x:f>
        <x:v>1496745.657992339</x:v>
      </x:c>
      <x:c r="L44" s="9" t="n">
        <x:f>C44/(1+'Допущения'!$B$9)*'Допущения'!E31+'Допущения'!C31*'Допущения'!$B$8*$B44*'Допущения'!F31*(1+'Допущения'!$B$14)^3+D44/(1+'Допущения'!$B$9)*'Допущения'!E32+'Допущения'!C32*'Допущения'!$B$8*$B44*'Допущения'!F32*(1+'Допущения'!$B$14)^3+E44/(1+'Допущения'!$B$9)*'Допущения'!E33+'Допущения'!C33*'Допущения'!$B$8*$B44*'Допущения'!F33*(1+'Допущения'!$B$14)^3+F44/(1+'Допущения'!$B$9)*'Допущения'!E34+'Допущения'!C34*'Допущения'!$B$8*$B44*'Допущения'!F34*(1+'Допущения'!$B$14)^3+G44/(1+'Допущения'!$B$9)*'Допущения'!E35+'Допущения'!C35*'Допущения'!$B$8*$B44*'Допущения'!F35*(1+'Допущения'!$B$14)^3+H44/(1+'Допущения'!$B$9)*'Допущения'!E36+'Допущения'!C36*'Допущения'!$B$8*$B44*'Допущения'!F36*(1+'Допущения'!$B$14)^3+I44/(1+'Допущения'!$B$9)*'Допущения'!E37+'Допущения'!C37*'Допущения'!$B$8*$B44*'Допущения'!F37*(1+'Допущения'!$B$14)^3</x:f>
        <x:v>164601.724089061</x:v>
      </x:c>
      <x:c r="M44" s="9" t="n">
        <x:f>J44*'Допущения'!$B$11</x:f>
        <x:v>31431.65881783912</x:v>
      </x:c>
      <x:c r="N44" s="9" t="n">
        <x:f>'Инвестиции'!$C$35*(1+'Допущения'!$B$14)^3</x:f>
        <x:v>627226.9551450001</x:v>
      </x:c>
      <x:c r="O44" s="9" t="n">
        <x:f>K44*'Допущения'!$B$10</x:f>
        <x:v>89804.73947954034</x:v>
      </x:c>
      <x:c r="P44" s="9" t="n">
        <x:f>K44*'Допущения'!$B$12</x:f>
        <x:v>29934.91315984678</x:v>
      </x:c>
      <x:c r="Q44" s="7" t="n">
        <x:f>K44-L44-M44-N44</x:f>
        <x:v>673485.3199404388</x:v>
      </x:c>
      <x:c r="R44" s="7" t="n">
        <x:f>Q44-O44-P44</x:f>
        <x:v>553745.6673010517</x:v>
      </x:c>
      <x:c r="S44" s="7" t="n">
        <x:f>S43+R44</x:f>
        <x:v>10042017.12325606</x:v>
      </x:c>
      <x:c r="T44" s="7" t="n">
        <x:f>IF(S44&gt;=0,A44,999)</x:f>
        <x:v>38</x:v>
      </x:c>
      <x:c r="U44" s="22" t="n">
        <x:f>'Допущения'!C31*'Допущения'!$B$8*B44*'Допущения'!$B$17/'Допущения'!$B$18/'Допущения'!$B$16</x:f>
        <x:v>6.600439137134052</x:v>
      </x:c>
      <x:c r="V44" s="7"/>
      <x:c r="W44" s="7"/>
    </x:row>
    <x:row r="45" ht="23" customHeight="1">
      <x:c r="A45" s="1" t="n">
        <x:v>39</x:v>
      </x:c>
      <x:c r="B45" s="17" t="n">
        <x:f>'Допущения'!C44*'Допущения'!D53</x:f>
        <x:v>1.0169491525423728</x:v>
      </x:c>
      <x:c r="C45" s="9" t="n">
        <x:f>'Допущения'!C31*'Допущения'!$B$8*'Допущения'!D31*$B45*(1+'Допущения'!$B$13)^3</x:f>
        <x:v>982270.8210966099</x:v>
      </x:c>
      <x:c r="D45" s="9" t="n">
        <x:f>'Допущения'!C32*'Допущения'!$B$8*'Допущения'!D32*$B45*(1+'Допущения'!$B$13)^3</x:f>
        <x:v>42313.20460108474</x:v>
      </x:c>
      <x:c r="E45" s="9" t="n">
        <x:f>'Допущения'!C33*'Допущения'!$B$8*'Допущения'!D33*$B45*(1+'Допущения'!$B$13)^3</x:f>
        <x:v>35261.003834237286</x:v>
      </x:c>
      <x:c r="F45" s="9" t="n">
        <x:f>'Допущения'!C34*'Допущения'!$B$8*'Допущения'!D34*$B45*(1+'Допущения'!$B$13)^3</x:f>
        <x:v>159514.06496440677</x:v>
      </x:c>
      <x:c r="G45" s="9" t="n">
        <x:f>'Допущения'!C35*'Допущения'!$B$8*'Допущения'!D35*$B45*(1+'Допущения'!$B$13)^3</x:f>
        <x:v>253879.22760650842</x:v>
      </x:c>
      <x:c r="H45" s="9" t="n">
        <x:f>'Допущения'!C36*'Допущения'!$B$8*'Допущения'!D36*$B45*(1+'Допущения'!$B$13)^3</x:f>
        <x:v>23507.335889491525</x:v>
      </x:c>
      <x:c r="I45" s="9" t="n">
        <x:f>'Допущения'!C37*'Допущения'!$B$8*'Допущения'!D37*$B45*(1+'Допущения'!$B$13)^3</x:f>
        <x:v>0</x:v>
      </x:c>
      <x:c r="J45" s="7" t="n">
        <x:f>SUM(C45:I45)</x:f>
        <x:v>1496745.6579923385</x:v>
      </x:c>
      <x:c r="K45" s="9" t="n">
        <x:f>J45/(1+'Допущения'!$B$9)</x:f>
        <x:v>1425472.0552307984</x:v>
      </x:c>
      <x:c r="L45" s="9" t="n">
        <x:f>C45/(1+'Допущения'!$B$9)*'Допущения'!E31+'Допущения'!C31*'Допущения'!$B$8*$B45*'Допущения'!F31*(1+'Допущения'!$B$14)^3+D45/(1+'Допущения'!$B$9)*'Допущения'!E32+'Допущения'!C32*'Допущения'!$B$8*$B45*'Допущения'!F32*(1+'Допущения'!$B$14)^3+E45/(1+'Допущения'!$B$9)*'Допущения'!E33+'Допущения'!C33*'Допущения'!$B$8*$B45*'Допущения'!F33*(1+'Допущения'!$B$14)^3+F45/(1+'Допущения'!$B$9)*'Допущения'!E34+'Допущения'!C34*'Допущения'!$B$8*$B45*'Допущения'!F34*(1+'Допущения'!$B$14)^3+G45/(1+'Допущения'!$B$9)*'Допущения'!E35+'Допущения'!C35*'Допущения'!$B$8*$B45*'Допущения'!F35*(1+'Допущения'!$B$14)^3+H45/(1+'Допущения'!$B$9)*'Допущения'!E36+'Допущения'!C36*'Допущения'!$B$8*$B45*'Допущения'!F36*(1+'Допущения'!$B$14)^3+I45/(1+'Допущения'!$B$9)*'Допущения'!E37+'Допущения'!C37*'Допущения'!$B$8*$B45*'Допущения'!F37*(1+'Допущения'!$B$14)^3</x:f>
        <x:v>156763.54675148663</x:v>
      </x:c>
      <x:c r="M45" s="9" t="n">
        <x:f>J45*'Допущения'!$B$11</x:f>
        <x:v>29934.913159846772</x:v>
      </x:c>
      <x:c r="N45" s="9" t="n">
        <x:f>'Инвестиции'!$C$35*(1+'Допущения'!$B$14)^3</x:f>
        <x:v>627226.9551450001</x:v>
      </x:c>
      <x:c r="O45" s="9" t="n">
        <x:f>K45*'Допущения'!$B$10</x:f>
        <x:v>85528.3233138479</x:v>
      </x:c>
      <x:c r="P45" s="9" t="n">
        <x:f>K45*'Допущения'!$B$12</x:f>
        <x:v>28509.44110461597</x:v>
      </x:c>
      <x:c r="Q45" s="7" t="n">
        <x:f>K45-L45-M45-N45</x:f>
        <x:v>611546.6401744649</x:v>
      </x:c>
      <x:c r="R45" s="7" t="n">
        <x:f>Q45-O45-P45</x:f>
        <x:v>497508.87575600104</x:v>
      </x:c>
      <x:c r="S45" s="7" t="n">
        <x:f>S44+R45</x:f>
        <x:v>10539525.99901206</x:v>
      </x:c>
      <x:c r="T45" s="7" t="n">
        <x:f>IF(S45&gt;=0,A45,999)</x:f>
        <x:v>39</x:v>
      </x:c>
      <x:c r="U45" s="22" t="n">
        <x:f>'Допущения'!C31*'Допущения'!$B$8*B45*'Допущения'!$B$17/'Допущения'!$B$18/'Допущения'!$B$16</x:f>
        <x:v>6.28613251155624</x:v>
      </x:c>
      <x:c r="V45" s="7"/>
      <x:c r="W45" s="7"/>
    </x:row>
    <x:row r="46" ht="23" customHeight="1">
      <x:c r="A46" s="1" t="n">
        <x:v>40</x:v>
      </x:c>
      <x:c r="B46" s="17" t="n">
        <x:f>'Допущения'!C45*'Допущения'!D53</x:f>
        <x:v>0.9152542372881356</x:v>
      </x:c>
      <x:c r="C46" s="9" t="n">
        <x:f>'Допущения'!C31*'Допущения'!$B$8*'Допущения'!D31*$B46*(1+'Допущения'!$B$13)^3</x:f>
        <x:v>884043.7389869491</x:v>
      </x:c>
      <x:c r="D46" s="9" t="n">
        <x:f>'Допущения'!C32*'Допущения'!$B$8*'Допущения'!D32*$B46*(1+'Допущения'!$B$13)^3</x:f>
        <x:v>38081.88414097627</x:v>
      </x:c>
      <x:c r="E46" s="9" t="n">
        <x:f>'Допущения'!C33*'Допущения'!$B$8*'Допущения'!D33*$B46*(1+'Допущения'!$B$13)^3</x:f>
        <x:v>31734.90345081356</x:v>
      </x:c>
      <x:c r="F46" s="9" t="n">
        <x:f>'Допущения'!C34*'Допущения'!$B$8*'Допущения'!D34*$B46*(1+'Допущения'!$B$13)^3</x:f>
        <x:v>143562.6584679661</x:v>
      </x:c>
      <x:c r="G46" s="9" t="n">
        <x:f>'Допущения'!C35*'Допущения'!$B$8*'Допущения'!D35*$B46*(1+'Допущения'!$B$13)^3</x:f>
        <x:v>228491.3048458576</x:v>
      </x:c>
      <x:c r="H46" s="9" t="n">
        <x:f>'Допущения'!C36*'Допущения'!$B$8*'Допущения'!D36*$B46*(1+'Допущения'!$B$13)^3</x:f>
        <x:v>21156.60230054237</x:v>
      </x:c>
      <x:c r="I46" s="9" t="n">
        <x:f>'Допущения'!C37*'Допущения'!$B$8*'Допущения'!D37*$B46*(1+'Допущения'!$B$13)^3</x:f>
        <x:v>0</x:v>
      </x:c>
      <x:c r="J46" s="7" t="n">
        <x:f>SUM(C46:I46)</x:f>
        <x:v>1347071.092193105</x:v>
      </x:c>
      <x:c r="K46" s="9" t="n">
        <x:f>J46/(1+'Допущения'!$B$9)</x:f>
        <x:v>1282924.849707719</x:v>
      </x:c>
      <x:c r="L46" s="9" t="n">
        <x:f>C46/(1+'Допущения'!$B$9)*'Допущения'!E31+'Допущения'!C31*'Допущения'!$B$8*$B46*'Допущения'!F31*(1+'Допущения'!$B$14)^3+D46/(1+'Допущения'!$B$9)*'Допущения'!E32+'Допущения'!C32*'Допущения'!$B$8*$B46*'Допущения'!F32*(1+'Допущения'!$B$14)^3+E46/(1+'Допущения'!$B$9)*'Допущения'!E33+'Допущения'!C33*'Допущения'!$B$8*$B46*'Допущения'!F33*(1+'Допущения'!$B$14)^3+F46/(1+'Допущения'!$B$9)*'Допущения'!E34+'Допущения'!C34*'Допущения'!$B$8*$B46*'Допущения'!F34*(1+'Допущения'!$B$14)^3+G46/(1+'Допущения'!$B$9)*'Допущения'!E35+'Допущения'!C35*'Допущения'!$B$8*$B46*'Допущения'!F35*(1+'Допущения'!$B$14)^3+H46/(1+'Допущения'!$B$9)*'Допущения'!E36+'Допущения'!C36*'Допущения'!$B$8*$B46*'Допущения'!F36*(1+'Допущения'!$B$14)^3+I46/(1+'Допущения'!$B$9)*'Допущения'!E37+'Допущения'!C37*'Допущения'!$B$8*$B46*'Допущения'!F37*(1+'Допущения'!$B$14)^3</x:f>
        <x:v>141087.192076338</x:v>
      </x:c>
      <x:c r="M46" s="9" t="n">
        <x:f>J46*'Допущения'!$B$11</x:f>
        <x:v>26941.421843862103</x:v>
      </x:c>
      <x:c r="N46" s="9" t="n">
        <x:f>'Инвестиции'!$C$35*(1+'Допущения'!$B$14)^3</x:f>
        <x:v>627226.9551450001</x:v>
      </x:c>
      <x:c r="O46" s="9" t="n">
        <x:f>K46*'Допущения'!$B$10</x:f>
        <x:v>76975.49098246313</x:v>
      </x:c>
      <x:c r="P46" s="9" t="n">
        <x:f>K46*'Допущения'!$B$12</x:f>
        <x:v>25658.49699415438</x:v>
      </x:c>
      <x:c r="Q46" s="7" t="n">
        <x:f>K46-L46-M46-N46</x:f>
        <x:v>487669.28064251866</x:v>
      </x:c>
      <x:c r="R46" s="7" t="n">
        <x:f>Q46-O46-P46</x:f>
        <x:v>385035.2926659012</x:v>
      </x:c>
      <x:c r="S46" s="7" t="n">
        <x:f>S45+R46</x:f>
        <x:v>10924561.291677961</x:v>
      </x:c>
      <x:c r="T46" s="7" t="n">
        <x:f>IF(S46&gt;=0,A46,999)</x:f>
        <x:v>40</x:v>
      </x:c>
      <x:c r="U46" s="22" t="n">
        <x:f>'Допущения'!C31*'Допущения'!$B$8*B46*'Допущения'!$B$17/'Допущения'!$B$18/'Допущения'!$B$16</x:f>
        <x:v>5.6575192604006155</x:v>
      </x:c>
      <x:c r="V46" s="7"/>
      <x:c r="W46" s="7"/>
    </x:row>
    <x:row r="47" ht="23" customHeight="1">
      <x:c r="A47" s="1" t="n">
        <x:v>41</x:v>
      </x:c>
      <x:c r="B47" s="17" t="n">
        <x:f>'Допущения'!C46*'Допущения'!D53</x:f>
        <x:v>0.8644067796610169</x:v>
      </x:c>
      <x:c r="C47" s="9" t="n">
        <x:f>'Допущения'!C31*'Допущения'!$B$8*'Допущения'!D31*$B47*(1+'Допущения'!$B$13)^3</x:f>
        <x:v>834930.1979321184</x:v>
      </x:c>
      <x:c r="D47" s="9" t="n">
        <x:f>'Допущения'!C32*'Допущения'!$B$8*'Допущения'!D32*$B47*(1+'Допущения'!$B$13)^3</x:f>
        <x:v>35966.223910922025</x:v>
      </x:c>
      <x:c r="E47" s="9" t="n">
        <x:f>'Допущения'!C33*'Допущения'!$B$8*'Допущения'!D33*$B47*(1+'Допущения'!$B$13)^3</x:f>
        <x:v>29971.853259101692</x:v>
      </x:c>
      <x:c r="F47" s="9" t="n">
        <x:f>'Допущения'!C34*'Допущения'!$B$8*'Допущения'!D34*$B47*(1+'Допущения'!$B$13)^3</x:f>
        <x:v>135586.95521974575</x:v>
      </x:c>
      <x:c r="G47" s="9" t="n">
        <x:f>'Допущения'!C35*'Допущения'!$B$8*'Допущения'!D35*$B47*(1+'Допущения'!$B$13)^3</x:f>
        <x:v>215797.34346553215</x:v>
      </x:c>
      <x:c r="H47" s="9" t="n">
        <x:f>'Допущения'!C36*'Допущения'!$B$8*'Допущения'!D36*$B47*(1+'Допущения'!$B$13)^3</x:f>
        <x:v>19981.235506067795</x:v>
      </x:c>
      <x:c r="I47" s="9" t="n">
        <x:f>'Допущения'!C37*'Допущения'!$B$8*'Допущения'!D37*$B47*(1+'Допущения'!$B$13)^3</x:f>
        <x:v>0</x:v>
      </x:c>
      <x:c r="J47" s="7" t="n">
        <x:f>SUM(C47:I47)</x:f>
        <x:v>1272233.8092934878</x:v>
      </x:c>
      <x:c r="K47" s="9" t="n">
        <x:f>J47/(1+'Допущения'!$B$9)</x:f>
        <x:v>1211651.2469461788</x:v>
      </x:c>
      <x:c r="L47" s="9" t="n">
        <x:f>C47/(1+'Допущения'!$B$9)*'Допущения'!E31+'Допущения'!C31*'Допущения'!$B$8*$B47*'Допущения'!F31*(1+'Допущения'!$B$14)^3+D47/(1+'Допущения'!$B$9)*'Допущения'!E32+'Допущения'!C32*'Допущения'!$B$8*$B47*'Допущения'!F32*(1+'Допущения'!$B$14)^3+E47/(1+'Допущения'!$B$9)*'Допущения'!E33+'Допущения'!C33*'Допущения'!$B$8*$B47*'Допущения'!F33*(1+'Допущения'!$B$14)^3+F47/(1+'Допущения'!$B$9)*'Допущения'!E34+'Допущения'!C34*'Допущения'!$B$8*$B47*'Допущения'!F34*(1+'Допущения'!$B$14)^3+G47/(1+'Допущения'!$B$9)*'Допущения'!E35+'Допущения'!C35*'Допущения'!$B$8*$B47*'Допущения'!F35*(1+'Допущения'!$B$14)^3+H47/(1+'Допущения'!$B$9)*'Допущения'!E36+'Допущения'!C36*'Допущения'!$B$8*$B47*'Допущения'!F36*(1+'Допущения'!$B$14)^3+I47/(1+'Допущения'!$B$9)*'Допущения'!E37+'Допущения'!C37*'Допущения'!$B$8*$B47*'Допущения'!F37*(1+'Допущения'!$B$14)^3</x:f>
        <x:v>133249.01473876365</x:v>
      </x:c>
      <x:c r="M47" s="9" t="n">
        <x:f>J47*'Допущения'!$B$11</x:f>
        <x:v>25444.676185869757</x:v>
      </x:c>
      <x:c r="N47" s="9" t="n">
        <x:f>'Инвестиции'!$C$35*(1+'Допущения'!$B$14)^3</x:f>
        <x:v>627226.9551450001</x:v>
      </x:c>
      <x:c r="O47" s="9" t="n">
        <x:f>K47*'Допущения'!$B$10</x:f>
        <x:v>72699.07481677072</x:v>
      </x:c>
      <x:c r="P47" s="9" t="n">
        <x:f>K47*'Допущения'!$B$12</x:f>
        <x:v>24233.024938923576</x:v>
      </x:c>
      <x:c r="Q47" s="7" t="n">
        <x:f>K47-L47-M47-N47</x:f>
        <x:v>425730.6008765452</x:v>
      </x:c>
      <x:c r="R47" s="7" t="n">
        <x:f>Q47-O47-P47</x:f>
        <x:v>328798.50112085085</x:v>
      </x:c>
      <x:c r="S47" s="7" t="n">
        <x:f>S46+R47</x:f>
        <x:v>11253359.792798812</x:v>
      </x:c>
      <x:c r="T47" s="7" t="n">
        <x:f>IF(S47&gt;=0,A47,999)</x:f>
        <x:v>41</x:v>
      </x:c>
      <x:c r="U47" s="22" t="n">
        <x:f>'Допущения'!C31*'Допущения'!$B$8*B47*'Допущения'!$B$17/'Допущения'!$B$18/'Допущения'!$B$16</x:f>
        <x:v>5.3432126348228035</x:v>
      </x:c>
      <x:c r="V47" s="7"/>
      <x:c r="W47" s="7"/>
    </x:row>
    <x:row r="48" ht="23" customHeight="1">
      <x:c r="A48" s="1" t="n">
        <x:v>42</x:v>
      </x:c>
      <x:c r="B48" s="17" t="n">
        <x:f>'Допущения'!C47*'Допущения'!D53</x:f>
        <x:v>0.7118644067796609</x:v>
      </x:c>
      <x:c r="C48" s="9" t="n">
        <x:f>'Допущения'!C31*'Допущения'!$B$8*'Допущения'!D31*$B48*(1+'Допущения'!$B$13)^3</x:f>
        <x:v>687589.5747676269</x:v>
      </x:c>
      <x:c r="D48" s="9" t="n">
        <x:f>'Допущения'!C32*'Допущения'!$B$8*'Допущения'!D32*$B48*(1+'Допущения'!$B$13)^3</x:f>
        <x:v>29619.243220759312</x:v>
      </x:c>
      <x:c r="E48" s="9" t="n">
        <x:f>'Допущения'!C33*'Допущения'!$B$8*'Допущения'!D33*$B48*(1+'Допущения'!$B$13)^3</x:f>
        <x:v>24682.702683966098</x:v>
      </x:c>
      <x:c r="F48" s="9" t="n">
        <x:f>'Допущения'!C34*'Допущения'!$B$8*'Допущения'!D34*$B48*(1+'Допущения'!$B$13)^3</x:f>
        <x:v>111659.84547508473</x:v>
      </x:c>
      <x:c r="G48" s="9" t="n">
        <x:f>'Допущения'!C35*'Допущения'!$B$8*'Допущения'!D35*$B48*(1+'Допущения'!$B$13)^3</x:f>
        <x:v>177715.45932455588</x:v>
      </x:c>
      <x:c r="H48" s="9" t="n">
        <x:f>'Допущения'!C36*'Допущения'!$B$8*'Допущения'!D36*$B48*(1+'Допущения'!$B$13)^3</x:f>
        <x:v>16455.135122644064</x:v>
      </x:c>
      <x:c r="I48" s="9" t="n">
        <x:f>'Допущения'!C37*'Допущения'!$B$8*'Допущения'!D37*$B48*(1+'Допущения'!$B$13)^3</x:f>
        <x:v>0</x:v>
      </x:c>
      <x:c r="J48" s="7" t="n">
        <x:f>SUM(C48:I48)</x:f>
        <x:v>1047721.9605946371</x:v>
      </x:c>
      <x:c r="K48" s="9" t="n">
        <x:f>J48/(1+'Допущения'!$B$9)</x:f>
        <x:v>997830.4386615591</x:v>
      </x:c>
      <x:c r="L48" s="9" t="n">
        <x:f>C48/(1+'Допущения'!$B$9)*'Допущения'!E31+'Допущения'!C31*'Допущения'!$B$8*$B48*'Допущения'!F31*(1+'Допущения'!$B$14)^3+D48/(1+'Допущения'!$B$9)*'Допущения'!E32+'Допущения'!C32*'Допущения'!$B$8*$B48*'Допущения'!F32*(1+'Допущения'!$B$14)^3+E48/(1+'Допущения'!$B$9)*'Допущения'!E33+'Допущения'!C33*'Допущения'!$B$8*$B48*'Допущения'!F33*(1+'Допущения'!$B$14)^3+F48/(1+'Допущения'!$B$9)*'Допущения'!E34+'Допущения'!C34*'Допущения'!$B$8*$B48*'Допущения'!F34*(1+'Допущения'!$B$14)^3+G48/(1+'Допущения'!$B$9)*'Допущения'!E35+'Допущения'!C35*'Допущения'!$B$8*$B48*'Допущения'!F35*(1+'Допущения'!$B$14)^3+H48/(1+'Допущения'!$B$9)*'Допущения'!E36+'Допущения'!C36*'Допущения'!$B$8*$B48*'Допущения'!F36*(1+'Допущения'!$B$14)^3+I48/(1+'Допущения'!$B$9)*'Допущения'!E37+'Допущения'!C37*'Допущения'!$B$8*$B48*'Допущения'!F37*(1+'Допущения'!$B$14)^3</x:f>
        <x:v>109734.48272604065</x:v>
      </x:c>
      <x:c r="M48" s="9" t="n">
        <x:f>J48*'Допущения'!$B$11</x:f>
        <x:v>20954.439211892743</x:v>
      </x:c>
      <x:c r="N48" s="9" t="n">
        <x:f>'Инвестиции'!$C$35*(1+'Допущения'!$B$14)^3</x:f>
        <x:v>627226.9551450001</x:v>
      </x:c>
      <x:c r="O48" s="9" t="n">
        <x:f>K48*'Допущения'!$B$10</x:f>
        <x:v>59869.826319693544</x:v>
      </x:c>
      <x:c r="P48" s="9" t="n">
        <x:f>K48*'Допущения'!$B$12</x:f>
        <x:v>19956.608773231183</x:v>
      </x:c>
      <x:c r="Q48" s="7" t="n">
        <x:f>K48-L48-M48-N48</x:f>
        <x:v>239914.56157862558</x:v>
      </x:c>
      <x:c r="R48" s="7" t="n">
        <x:f>Q48-O48-P48</x:f>
        <x:v>160088.12648570086</x:v>
      </x:c>
      <x:c r="S48" s="7" t="n">
        <x:f>S47+R48</x:f>
        <x:v>11413447.919284513</x:v>
      </x:c>
      <x:c r="T48" s="7" t="n">
        <x:f>IF(S48&gt;=0,A48,999)</x:f>
        <x:v>42</x:v>
      </x:c>
      <x:c r="U48" s="22" t="n">
        <x:f>'Допущения'!C31*'Допущения'!$B$8*B48*'Допущения'!$B$17/'Допущения'!$B$18/'Допущения'!$B$16</x:f>
        <x:v>4.400292758089368</x:v>
      </x:c>
      <x:c r="V48" s="7"/>
      <x:c r="W48" s="7"/>
    </x:row>
    <x:row r="49" ht="23" customHeight="1">
      <x:c r="A49" s="1" t="n">
        <x:v>43</x:v>
      </x:c>
      <x:c r="B49" s="17" t="n">
        <x:f>'Допущения'!C48*'Допущения'!D53</x:f>
        <x:v>0.7627118644067796</x:v>
      </x:c>
      <x:c r="C49" s="9" t="n">
        <x:f>'Допущения'!C31*'Допущения'!$B$8*'Допущения'!D31*$B49*(1+'Допущения'!$B$13)^3</x:f>
        <x:v>736703.1158224576</x:v>
      </x:c>
      <x:c r="D49" s="9" t="n">
        <x:f>'Допущения'!C32*'Допущения'!$B$8*'Допущения'!D32*$B49*(1+'Допущения'!$B$13)^3</x:f>
        <x:v>31734.903450813556</x:v>
      </x:c>
      <x:c r="E49" s="9" t="n">
        <x:f>'Допущения'!C33*'Допущения'!$B$8*'Допущения'!D33*$B49*(1+'Допущения'!$B$13)^3</x:f>
        <x:v>26445.752875677965</x:v>
      </x:c>
      <x:c r="F49" s="9" t="n">
        <x:f>'Допущения'!C34*'Допущения'!$B$8*'Допущения'!D34*$B49*(1+'Допущения'!$B$13)^3</x:f>
        <x:v>119635.54872330508</x:v>
      </x:c>
      <x:c r="G49" s="9" t="n">
        <x:f>'Допущения'!C35*'Допущения'!$B$8*'Допущения'!D35*$B49*(1+'Допущения'!$B$13)^3</x:f>
        <x:v>190409.4207048813</x:v>
      </x:c>
      <x:c r="H49" s="9" t="n">
        <x:f>'Допущения'!C36*'Допущения'!$B$8*'Допущения'!D36*$B49*(1+'Допущения'!$B$13)^3</x:f>
        <x:v>17630.501917118643</x:v>
      </x:c>
      <x:c r="I49" s="9" t="n">
        <x:f>'Допущения'!C37*'Допущения'!$B$8*'Допущения'!D37*$B49*(1+'Допущения'!$B$13)^3</x:f>
        <x:v>0</x:v>
      </x:c>
      <x:c r="J49" s="7" t="n">
        <x:f>SUM(C49:I49)</x:f>
        <x:v>1122559.2434942543</x:v>
      </x:c>
      <x:c r="K49" s="9" t="n">
        <x:f>J49/(1+'Допущения'!$B$9)</x:f>
        <x:v>1069104.0414230993</x:v>
      </x:c>
      <x:c r="L49" s="9" t="n">
        <x:f>C49/(1+'Допущения'!$B$9)*'Допущения'!E31+'Допущения'!C31*'Допущения'!$B$8*$B49*'Допущения'!F31*(1+'Допущения'!$B$14)^3+D49/(1+'Допущения'!$B$9)*'Допущения'!E32+'Допущения'!C32*'Допущения'!$B$8*$B49*'Допущения'!F32*(1+'Допущения'!$B$14)^3+E49/(1+'Допущения'!$B$9)*'Допущения'!E33+'Допущения'!C33*'Допущения'!$B$8*$B49*'Допущения'!F33*(1+'Допущения'!$B$14)^3+F49/(1+'Допущения'!$B$9)*'Допущения'!E34+'Допущения'!C34*'Допущения'!$B$8*$B49*'Допущения'!F34*(1+'Допущения'!$B$14)^3+G49/(1+'Допущения'!$B$9)*'Допущения'!E35+'Допущения'!C35*'Допущения'!$B$8*$B49*'Допущения'!F35*(1+'Допущения'!$B$14)^3+H49/(1+'Допущения'!$B$9)*'Допущения'!E36+'Допущения'!C36*'Допущения'!$B$8*$B49*'Допущения'!F36*(1+'Допущения'!$B$14)^3+I49/(1+'Допущения'!$B$9)*'Допущения'!E37+'Допущения'!C37*'Допущения'!$B$8*$B49*'Допущения'!F37*(1+'Допущения'!$B$14)^3</x:f>
        <x:v>117572.660063615</x:v>
      </x:c>
      <x:c r="M49" s="9" t="n">
        <x:f>J49*'Допущения'!$B$11</x:f>
        <x:v>22451.184869885088</x:v>
      </x:c>
      <x:c r="N49" s="9" t="n">
        <x:f>'Инвестиции'!$C$35*(1+'Допущения'!$B$14)^3</x:f>
        <x:v>627226.9551450001</x:v>
      </x:c>
      <x:c r="O49" s="9" t="n">
        <x:f>K49*'Допущения'!$B$10</x:f>
        <x:v>64146.242485385956</x:v>
      </x:c>
      <x:c r="P49" s="9" t="n">
        <x:f>K49*'Допущения'!$B$12</x:f>
        <x:v>21382.08082846199</x:v>
      </x:c>
      <x:c r="Q49" s="7" t="n">
        <x:f>K49-L49-M49-N49</x:f>
        <x:v>301853.24134459917</x:v>
      </x:c>
      <x:c r="R49" s="7" t="n">
        <x:f>Q49-O49-P49</x:f>
        <x:v>216324.9180307512</x:v>
      </x:c>
      <x:c r="S49" s="7" t="n">
        <x:f>S48+R49</x:f>
        <x:v>11629772.837315265</x:v>
      </x:c>
      <x:c r="T49" s="7" t="n">
        <x:f>IF(S49&gt;=0,A49,999)</x:f>
        <x:v>43</x:v>
      </x:c>
      <x:c r="U49" s="22" t="n">
        <x:f>'Допущения'!C31*'Допущения'!$B$8*B49*'Допущения'!$B$17/'Допущения'!$B$18/'Допущения'!$B$16</x:f>
        <x:v>4.71459938366718</x:v>
      </x:c>
      <x:c r="V49" s="7"/>
      <x:c r="W49" s="7"/>
    </x:row>
    <x:row r="50" ht="23" customHeight="1">
      <x:c r="A50" s="1" t="n">
        <x:v>44</x:v>
      </x:c>
      <x:c r="B50" s="17" t="n">
        <x:f>'Допущения'!C49*'Допущения'!D53</x:f>
        <x:v>0.8135593220338982</x:v>
      </x:c>
      <x:c r="C50" s="9" t="n">
        <x:f>'Допущения'!C31*'Допущения'!$B$8*'Допущения'!D31*$B50*(1+'Допущения'!$B$13)^3</x:f>
        <x:v>785816.656877288</x:v>
      </x:c>
      <x:c r="D50" s="9" t="n">
        <x:f>'Допущения'!C32*'Допущения'!$B$8*'Допущения'!D32*$B50*(1+'Допущения'!$B$13)^3</x:f>
        <x:v>33850.563680867795</x:v>
      </x:c>
      <x:c r="E50" s="9" t="n">
        <x:f>'Допущения'!C33*'Допущения'!$B$8*'Допущения'!D33*$B50*(1+'Допущения'!$B$13)^3</x:f>
        <x:v>28208.80306738983</x:v>
      </x:c>
      <x:c r="F50" s="9" t="n">
        <x:f>'Допущения'!C34*'Допущения'!$B$8*'Допущения'!D34*$B50*(1+'Допущения'!$B$13)^3</x:f>
        <x:v>127611.25197152542</x:v>
      </x:c>
      <x:c r="G50" s="9" t="n">
        <x:f>'Допущения'!C35*'Допущения'!$B$8*'Допущения'!D35*$B50*(1+'Допущения'!$B$13)^3</x:f>
        <x:v>203103.38208520674</x:v>
      </x:c>
      <x:c r="H50" s="9" t="n">
        <x:f>'Допущения'!C36*'Допущения'!$B$8*'Допущения'!D36*$B50*(1+'Допущения'!$B$13)^3</x:f>
        <x:v>18805.86871159322</x:v>
      </x:c>
      <x:c r="I50" s="9" t="n">
        <x:f>'Допущения'!C37*'Допущения'!$B$8*'Допущения'!D37*$B50*(1+'Допущения'!$B$13)^3</x:f>
        <x:v>0</x:v>
      </x:c>
      <x:c r="J50" s="7" t="n">
        <x:f>SUM(C50:I50)</x:f>
        <x:v>1197396.526393871</x:v>
      </x:c>
      <x:c r="K50" s="9" t="n">
        <x:f>J50/(1+'Допущения'!$B$9)</x:f>
        <x:v>1140377.644184639</x:v>
      </x:c>
      <x:c r="L50" s="9" t="n">
        <x:f>C50/(1+'Допущения'!$B$9)*'Допущения'!E31+'Допущения'!C31*'Допущения'!$B$8*$B50*'Допущения'!F31*(1+'Допущения'!$B$14)^3+D50/(1+'Допущения'!$B$9)*'Допущения'!E32+'Допущения'!C32*'Допущения'!$B$8*$B50*'Допущения'!F32*(1+'Допущения'!$B$14)^3+E50/(1+'Допущения'!$B$9)*'Допущения'!E33+'Допущения'!C33*'Допущения'!$B$8*$B50*'Допущения'!F33*(1+'Допущения'!$B$14)^3+F50/(1+'Допущения'!$B$9)*'Допущения'!E34+'Допущения'!C34*'Допущения'!$B$8*$B50*'Допущения'!F34*(1+'Допущения'!$B$14)^3+G50/(1+'Допущения'!$B$9)*'Допущения'!E35+'Допущения'!C35*'Допущения'!$B$8*$B50*'Допущения'!F35*(1+'Допущения'!$B$14)^3+H50/(1+'Допущения'!$B$9)*'Допущения'!E36+'Допущения'!C36*'Допущения'!$B$8*$B50*'Допущения'!F36*(1+'Допущения'!$B$14)^3+I50/(1+'Допущения'!$B$9)*'Допущения'!E37+'Допущения'!C37*'Допущения'!$B$8*$B50*'Допущения'!F37*(1+'Допущения'!$B$14)^3</x:f>
        <x:v>125410.83740118933</x:v>
      </x:c>
      <x:c r="M50" s="9" t="n">
        <x:f>J50*'Допущения'!$B$11</x:f>
        <x:v>23947.930527877423</x:v>
      </x:c>
      <x:c r="N50" s="9" t="n">
        <x:f>'Инвестиции'!$C$35*(1+'Допущения'!$B$14)^3</x:f>
        <x:v>627226.9551450001</x:v>
      </x:c>
      <x:c r="O50" s="9" t="n">
        <x:f>K50*'Допущения'!$B$10</x:f>
        <x:v>68422.65865107834</x:v>
      </x:c>
      <x:c r="P50" s="9" t="n">
        <x:f>K50*'Допущения'!$B$12</x:f>
        <x:v>22807.55288369278</x:v>
      </x:c>
      <x:c r="Q50" s="7" t="n">
        <x:f>K50-L50-M50-N50</x:f>
        <x:v>363791.92111057206</x:v>
      </x:c>
      <x:c r="R50" s="7" t="n">
        <x:f>Q50-O50-P50</x:f>
        <x:v>272561.7095758009</x:v>
      </x:c>
      <x:c r="S50" s="7" t="n">
        <x:f>S49+R50</x:f>
        <x:v>11902334.546891065</x:v>
      </x:c>
      <x:c r="T50" s="7" t="n">
        <x:f>IF(S50&gt;=0,A50,999)</x:f>
        <x:v>44</x:v>
      </x:c>
      <x:c r="U50" s="22" t="n">
        <x:f>'Допущения'!C31*'Допущения'!$B$8*B50*'Допущения'!$B$17/'Допущения'!$B$18/'Допущения'!$B$16</x:f>
        <x:v>5.028906009244991</x:v>
      </x:c>
      <x:c r="V50" s="7"/>
      <x:c r="W50" s="7"/>
    </x:row>
    <x:row r="51" ht="23" customHeight="1">
      <x:c r="A51" s="1" t="n">
        <x:v>45</x:v>
      </x:c>
      <x:c r="B51" s="17" t="n">
        <x:f>'Допущения'!C50*'Допущения'!D53</x:f>
        <x:v>1.0677966101694916</x:v>
      </x:c>
      <x:c r="C51" s="9" t="n">
        <x:f>'Допущения'!C31*'Допущения'!$B$8*'Допущения'!D31*$B51*(1+'Допущения'!$B$13)^3</x:f>
        <x:v>1031384.3621514407</x:v>
      </x:c>
      <x:c r="D51" s="9" t="n">
        <x:f>'Допущения'!C32*'Допущения'!$B$8*'Допущения'!D32*$B51*(1+'Допущения'!$B$13)^3</x:f>
        <x:v>44428.86483113898</x:v>
      </x:c>
      <x:c r="E51" s="9" t="n">
        <x:f>'Допущения'!C33*'Допущения'!$B$8*'Допущения'!D33*$B51*(1+'Допущения'!$B$13)^3</x:f>
        <x:v>37024.05402594915</x:v>
      </x:c>
      <x:c r="F51" s="9" t="n">
        <x:f>'Допущения'!C34*'Допущения'!$B$8*'Допущения'!D34*$B51*(1+'Допущения'!$B$13)^3</x:f>
        <x:v>167489.76821262712</x:v>
      </x:c>
      <x:c r="G51" s="9" t="n">
        <x:f>'Допущения'!C35*'Допущения'!$B$8*'Допущения'!D35*$B51*(1+'Допущения'!$B$13)^3</x:f>
        <x:v>266573.18898683385</x:v>
      </x:c>
      <x:c r="H51" s="9" t="n">
        <x:f>'Допущения'!C36*'Допущения'!$B$8*'Допущения'!D36*$B51*(1+'Допущения'!$B$13)^3</x:f>
        <x:v>24682.7026839661</x:v>
      </x:c>
      <x:c r="I51" s="9" t="n">
        <x:f>'Допущения'!C37*'Допущения'!$B$8*'Допущения'!D37*$B51*(1+'Допущения'!$B$13)^3</x:f>
        <x:v>0</x:v>
      </x:c>
      <x:c r="J51" s="7" t="n">
        <x:f>SUM(C51:I51)</x:f>
        <x:v>1571582.940891956</x:v>
      </x:c>
      <x:c r="K51" s="9" t="n">
        <x:f>J51/(1+'Допущения'!$B$9)</x:f>
        <x:v>1496745.657992339</x:v>
      </x:c>
      <x:c r="L51" s="9" t="n">
        <x:f>C51/(1+'Допущения'!$B$9)*'Допущения'!E31+'Допущения'!C31*'Допущения'!$B$8*$B51*'Допущения'!F31*(1+'Допущения'!$B$14)^3+D51/(1+'Допущения'!$B$9)*'Допущения'!E32+'Допущения'!C32*'Допущения'!$B$8*$B51*'Допущения'!F32*(1+'Допущения'!$B$14)^3+E51/(1+'Допущения'!$B$9)*'Допущения'!E33+'Допущения'!C33*'Допущения'!$B$8*$B51*'Допущения'!F33*(1+'Допущения'!$B$14)^3+F51/(1+'Допущения'!$B$9)*'Допущения'!E34+'Допущения'!C34*'Допущения'!$B$8*$B51*'Допущения'!F34*(1+'Допущения'!$B$14)^3+G51/(1+'Допущения'!$B$9)*'Допущения'!E35+'Допущения'!C35*'Допущения'!$B$8*$B51*'Допущения'!F35*(1+'Допущения'!$B$14)^3+H51/(1+'Допущения'!$B$9)*'Допущения'!E36+'Допущения'!C36*'Допущения'!$B$8*$B51*'Допущения'!F36*(1+'Допущения'!$B$14)^3+I51/(1+'Допущения'!$B$9)*'Допущения'!E37+'Допущения'!C37*'Допущения'!$B$8*$B51*'Допущения'!F37*(1+'Допущения'!$B$14)^3</x:f>
        <x:v>164601.724089061</x:v>
      </x:c>
      <x:c r="M51" s="9" t="n">
        <x:f>J51*'Допущения'!$B$11</x:f>
        <x:v>31431.65881783912</x:v>
      </x:c>
      <x:c r="N51" s="9" t="n">
        <x:f>'Инвестиции'!$C$35*(1+'Допущения'!$B$14)^3</x:f>
        <x:v>627226.9551450001</x:v>
      </x:c>
      <x:c r="O51" s="9" t="n">
        <x:f>K51*'Допущения'!$B$10</x:f>
        <x:v>89804.73947954034</x:v>
      </x:c>
      <x:c r="P51" s="9" t="n">
        <x:f>K51*'Допущения'!$B$12</x:f>
        <x:v>29934.91315984678</x:v>
      </x:c>
      <x:c r="Q51" s="7" t="n">
        <x:f>K51-L51-M51-N51</x:f>
        <x:v>673485.3199404388</x:v>
      </x:c>
      <x:c r="R51" s="7" t="n">
        <x:f>Q51-O51-P51</x:f>
        <x:v>553745.6673010517</x:v>
      </x:c>
      <x:c r="S51" s="7" t="n">
        <x:f>S50+R51</x:f>
        <x:v>12456080.214192117</x:v>
      </x:c>
      <x:c r="T51" s="7" t="n">
        <x:f>IF(S51&gt;=0,A51,999)</x:f>
        <x:v>45</x:v>
      </x:c>
      <x:c r="U51" s="22" t="n">
        <x:f>'Допущения'!C31*'Допущения'!$B$8*B51*'Допущения'!$B$17/'Допущения'!$B$18/'Допущения'!$B$16</x:f>
        <x:v>6.600439137134052</x:v>
      </x:c>
      <x:c r="V51" s="7"/>
      <x:c r="W51" s="7"/>
    </x:row>
    <x:row r="52" ht="23" customHeight="1">
      <x:c r="A52" s="1" t="n">
        <x:v>46</x:v>
      </x:c>
      <x:c r="B52" s="17" t="n">
        <x:f>'Допущения'!C51*'Допущения'!D53</x:f>
        <x:v>1.1694915254237286</x:v>
      </x:c>
      <x:c r="C52" s="9" t="n">
        <x:f>'Допущения'!C31*'Допущения'!$B$8*'Допущения'!D31*$B52*(1+'Допущения'!$B$13)^3</x:f>
        <x:v>1129611.4442611013</x:v>
      </x:c>
      <x:c r="D52" s="9" t="n">
        <x:f>'Допущения'!C32*'Допущения'!$B$8*'Допущения'!D32*$B52*(1+'Допущения'!$B$13)^3</x:f>
        <x:v>48660.18529124744</x:v>
      </x:c>
      <x:c r="E52" s="9" t="n">
        <x:f>'Допущения'!C33*'Допущения'!$B$8*'Допущения'!D33*$B52*(1+'Допущения'!$B$13)^3</x:f>
        <x:v>40550.15440937287</x:v>
      </x:c>
      <x:c r="F52" s="9" t="n">
        <x:f>'Допущения'!C34*'Допущения'!$B$8*'Допущения'!D34*$B52*(1+'Допущения'!$B$13)^3</x:f>
        <x:v>183441.17470906777</x:v>
      </x:c>
      <x:c r="G52" s="9" t="n">
        <x:f>'Допущения'!C35*'Допущения'!$B$8*'Допущения'!D35*$B52*(1+'Допущения'!$B$13)^3</x:f>
        <x:v>291961.11174748465</x:v>
      </x:c>
      <x:c r="H52" s="9" t="n">
        <x:f>'Допущения'!C36*'Допущения'!$B$8*'Допущения'!D36*$B52*(1+'Допущения'!$B$13)^3</x:f>
        <x:v>27033.43627291525</x:v>
      </x:c>
      <x:c r="I52" s="9" t="n">
        <x:f>'Допущения'!C37*'Допущения'!$B$8*'Допущения'!D37*$B52*(1+'Допущения'!$B$13)^3</x:f>
        <x:v>0</x:v>
      </x:c>
      <x:c r="J52" s="7" t="n">
        <x:f>SUM(C52:I52)</x:f>
        <x:v>1721257.5066911892</x:v>
      </x:c>
      <x:c r="K52" s="9" t="n">
        <x:f>J52/(1+'Допущения'!$B$9)</x:f>
        <x:v>1639292.8635154183</x:v>
      </x:c>
      <x:c r="L52" s="9" t="n">
        <x:f>C52/(1+'Допущения'!$B$9)*'Допущения'!E31+'Допущения'!C31*'Допущения'!$B$8*$B52*'Допущения'!F31*(1+'Допущения'!$B$14)^3+D52/(1+'Допущения'!$B$9)*'Допущения'!E32+'Допущения'!C32*'Допущения'!$B$8*$B52*'Допущения'!F32*(1+'Допущения'!$B$14)^3+E52/(1+'Допущения'!$B$9)*'Допущения'!E33+'Допущения'!C33*'Допущения'!$B$8*$B52*'Допущения'!F33*(1+'Допущения'!$B$14)^3+F52/(1+'Допущения'!$B$9)*'Допущения'!E34+'Допущения'!C34*'Допущения'!$B$8*$B52*'Допущения'!F34*(1+'Допущения'!$B$14)^3+G52/(1+'Допущения'!$B$9)*'Допущения'!E35+'Допущения'!C35*'Допущения'!$B$8*$B52*'Допущения'!F35*(1+'Допущения'!$B$14)^3+H52/(1+'Допущения'!$B$9)*'Допущения'!E36+'Допущения'!C36*'Допущения'!$B$8*$B52*'Допущения'!F36*(1+'Допущения'!$B$14)^3+I52/(1+'Допущения'!$B$9)*'Допущения'!E37+'Допущения'!C37*'Допущения'!$B$8*$B52*'Допущения'!F37*(1+'Допущения'!$B$14)^3</x:f>
        <x:v>180278.0787642096</x:v>
      </x:c>
      <x:c r="M52" s="9" t="n">
        <x:f>J52*'Допущения'!$B$11</x:f>
        <x:v>34425.15013382379</x:v>
      </x:c>
      <x:c r="N52" s="9" t="n">
        <x:f>'Инвестиции'!$C$35*(1+'Допущения'!$B$14)^3</x:f>
        <x:v>627226.9551450001</x:v>
      </x:c>
      <x:c r="O52" s="9" t="n">
        <x:f>K52*'Допущения'!$B$10</x:f>
        <x:v>98357.57181092509</x:v>
      </x:c>
      <x:c r="P52" s="9" t="n">
        <x:f>K52*'Допущения'!$B$12</x:f>
        <x:v>32785.85727030836</x:v>
      </x:c>
      <x:c r="Q52" s="7" t="n">
        <x:f>K52-L52-M52-N52</x:f>
        <x:v>797362.6794723849</x:v>
      </x:c>
      <x:c r="R52" s="7" t="n">
        <x:f>Q52-O52-P52</x:f>
        <x:v>666219.2503911515</x:v>
      </x:c>
      <x:c r="S52" s="7" t="n">
        <x:f>S51+R52</x:f>
        <x:v>13122299.464583268</x:v>
      </x:c>
      <x:c r="T52" s="7" t="n">
        <x:f>IF(S52&gt;=0,A52,999)</x:f>
        <x:v>46</x:v>
      </x:c>
      <x:c r="U52" s="22" t="n">
        <x:f>'Допущения'!C31*'Допущения'!$B$8*B52*'Допущения'!$B$17/'Допущения'!$B$18/'Допущения'!$B$16</x:f>
        <x:v>7.2290523882896744</x:v>
      </x:c>
      <x:c r="V52" s="7"/>
      <x:c r="W52" s="7"/>
    </x:row>
    <x:row r="53" ht="23" customHeight="1">
      <x:c r="A53" s="1" t="n">
        <x:v>47</x:v>
      </x:c>
      <x:c r="B53" s="17" t="n">
        <x:f>'Допущения'!C52*'Допущения'!D53</x:f>
        <x:v>1.2203389830508473</x:v>
      </x:c>
      <x:c r="C53" s="9" t="n">
        <x:f>'Допущения'!C31*'Допущения'!$B$8*'Допущения'!D31*$B53*(1+'Допущения'!$B$13)^3</x:f>
        <x:v>1178724.985315932</x:v>
      </x:c>
      <x:c r="D53" s="9" t="n">
        <x:f>'Допущения'!C32*'Допущения'!$B$8*'Допущения'!D32*$B53*(1+'Допущения'!$B$13)^3</x:f>
        <x:v>50775.845521301686</x:v>
      </x:c>
      <x:c r="E53" s="9" t="n">
        <x:f>'Допущения'!C33*'Допущения'!$B$8*'Допущения'!D33*$B53*(1+'Допущения'!$B$13)^3</x:f>
        <x:v>42313.20460108474</x:v>
      </x:c>
      <x:c r="F53" s="9" t="n">
        <x:f>'Допущения'!C34*'Допущения'!$B$8*'Допущения'!D34*$B53*(1+'Допущения'!$B$13)^3</x:f>
        <x:v>191416.8779572881</x:v>
      </x:c>
      <x:c r="G53" s="9" t="n">
        <x:f>'Допущения'!C35*'Допущения'!$B$8*'Допущения'!D35*$B53*(1+'Допущения'!$B$13)^3</x:f>
        <x:v>304655.07312781</x:v>
      </x:c>
      <x:c r="H53" s="9" t="n">
        <x:f>'Допущения'!C36*'Допущения'!$B$8*'Допущения'!D36*$B53*(1+'Допущения'!$B$13)^3</x:f>
        <x:v>28208.80306738983</x:v>
      </x:c>
      <x:c r="I53" s="9" t="n">
        <x:f>'Допущения'!C37*'Допущения'!$B$8*'Допущения'!D37*$B53*(1+'Допущения'!$B$13)^3</x:f>
        <x:v>0</x:v>
      </x:c>
      <x:c r="J53" s="7" t="n">
        <x:f>SUM(C53:I53)</x:f>
        <x:v>1796094.7895908067</x:v>
      </x:c>
      <x:c r="K53" s="9" t="n">
        <x:f>J53/(1+'Допущения'!$B$9)</x:f>
        <x:v>1710566.4662769586</x:v>
      </x:c>
      <x:c r="L53" s="9" t="n">
        <x:f>C53/(1+'Допущения'!$B$9)*'Допущения'!E31+'Допущения'!C31*'Допущения'!$B$8*$B53*'Допущения'!F31*(1+'Допущения'!$B$14)^3+D53/(1+'Допущения'!$B$9)*'Допущения'!E32+'Допущения'!C32*'Допущения'!$B$8*$B53*'Допущения'!F32*(1+'Допущения'!$B$14)^3+E53/(1+'Допущения'!$B$9)*'Допущения'!E33+'Допущения'!C33*'Допущения'!$B$8*$B53*'Допущения'!F33*(1+'Допущения'!$B$14)^3+F53/(1+'Допущения'!$B$9)*'Допущения'!E34+'Допущения'!C34*'Допущения'!$B$8*$B53*'Допущения'!F34*(1+'Допущения'!$B$14)^3+G53/(1+'Допущения'!$B$9)*'Допущения'!E35+'Допущения'!C35*'Допущения'!$B$8*$B53*'Допущения'!F35*(1+'Допущения'!$B$14)^3+H53/(1+'Допущения'!$B$9)*'Допущения'!E36+'Допущения'!C36*'Допущения'!$B$8*$B53*'Допущения'!F36*(1+'Допущения'!$B$14)^3+I53/(1+'Допущения'!$B$9)*'Допущения'!E37+'Допущения'!C37*'Допущения'!$B$8*$B53*'Допущения'!F37*(1+'Допущения'!$B$14)^3</x:f>
        <x:v>188116.25610178395</x:v>
      </x:c>
      <x:c r="M53" s="9" t="n">
        <x:f>J53*'Допущения'!$B$11</x:f>
        <x:v>35921.89579181613</x:v>
      </x:c>
      <x:c r="N53" s="9" t="n">
        <x:f>'Инвестиции'!$C$35*(1+'Допущения'!$B$14)^3</x:f>
        <x:v>627226.9551450001</x:v>
      </x:c>
      <x:c r="O53" s="9" t="n">
        <x:f>K53*'Допущения'!$B$10</x:f>
        <x:v>102633.98797661751</x:v>
      </x:c>
      <x:c r="P53" s="9" t="n">
        <x:f>K53*'Допущения'!$B$12</x:f>
        <x:v>34211.32932553917</x:v>
      </x:c>
      <x:c r="Q53" s="7" t="n">
        <x:f>K53-L53-M53-N53</x:f>
        <x:v>859301.3592383586</x:v>
      </x:c>
      <x:c r="R53" s="7" t="n">
        <x:f>Q53-O53-P53</x:f>
        <x:v>722456.0419362019</x:v>
      </x:c>
      <x:c r="S53" s="7" t="n">
        <x:f>S52+R53</x:f>
        <x:v>13844755.50651947</x:v>
      </x:c>
      <x:c r="T53" s="7" t="n">
        <x:f>IF(S53&gt;=0,A53,999)</x:f>
        <x:v>47</x:v>
      </x:c>
      <x:c r="U53" s="22" t="n">
        <x:f>'Допущения'!C31*'Допущения'!$B$8*B53*'Допущения'!$B$17/'Допущения'!$B$18/'Допущения'!$B$16</x:f>
        <x:v>7.543359013867487</x:v>
      </x:c>
      <x:c r="V53" s="7"/>
      <x:c r="W53" s="7"/>
    </x:row>
    <x:row r="54" ht="23" customHeight="1">
      <x:c r="A54" s="1" t="n">
        <x:v>48</x:v>
      </x:c>
      <x:c r="B54" s="17" t="n">
        <x:f>'Допущения'!C53*'Допущения'!D53</x:f>
        <x:v>1.271186440677966</x:v>
      </x:c>
      <x:c r="C54" s="9" t="n">
        <x:f>'Допущения'!C31*'Допущения'!$B$8*'Допущения'!D31*$B54*(1+'Допущения'!$B$13)^3</x:f>
        <x:v>1227838.5263707626</x:v>
      </x:c>
      <x:c r="D54" s="9" t="n">
        <x:f>'Допущения'!C32*'Допущения'!$B$8*'Допущения'!D32*$B54*(1+'Допущения'!$B$13)^3</x:f>
        <x:v>52891.50575135593</x:v>
      </x:c>
      <x:c r="E54" s="9" t="n">
        <x:f>'Допущения'!C33*'Допущения'!$B$8*'Допущения'!D33*$B54*(1+'Допущения'!$B$13)^3</x:f>
        <x:v>44076.25479279661</x:v>
      </x:c>
      <x:c r="F54" s="9" t="n">
        <x:f>'Допущения'!C34*'Допущения'!$B$8*'Допущения'!D34*$B54*(1+'Допущения'!$B$13)^3</x:f>
        <x:v>199392.58120550844</x:v>
      </x:c>
      <x:c r="G54" s="9" t="n">
        <x:f>'Допущения'!C35*'Допущения'!$B$8*'Допущения'!D35*$B54*(1+'Допущения'!$B$13)^3</x:f>
        <x:v>317349.03450813546</x:v>
      </x:c>
      <x:c r="H54" s="9" t="n">
        <x:f>'Допущения'!C36*'Допущения'!$B$8*'Допущения'!D36*$B54*(1+'Допущения'!$B$13)^3</x:f>
        <x:v>29384.169861864408</x:v>
      </x:c>
      <x:c r="I54" s="9" t="n">
        <x:f>'Допущения'!C37*'Допущения'!$B$8*'Допущения'!D37*$B54*(1+'Допущения'!$B$13)^3</x:f>
        <x:v>0</x:v>
      </x:c>
      <x:c r="J54" s="7" t="n">
        <x:f>SUM(C54:I54)</x:f>
        <x:v>1870932.0724904235</x:v>
      </x:c>
      <x:c r="K54" s="9" t="n">
        <x:f>J54/(1+'Допущения'!$B$9)</x:f>
        <x:v>1781840.0690384984</x:v>
      </x:c>
      <x:c r="L54" s="9" t="n">
        <x:f>C54/(1+'Допущения'!$B$9)*'Допущения'!E31+'Допущения'!C31*'Допущения'!$B$8*$B54*'Допущения'!F31*(1+'Допущения'!$B$14)^3+D54/(1+'Допущения'!$B$9)*'Допущения'!E32+'Допущения'!C32*'Допущения'!$B$8*$B54*'Допущения'!F32*(1+'Допущения'!$B$14)^3+E54/(1+'Допущения'!$B$9)*'Допущения'!E33+'Допущения'!C33*'Допущения'!$B$8*$B54*'Допущения'!F33*(1+'Допущения'!$B$14)^3+F54/(1+'Допущения'!$B$9)*'Допущения'!E34+'Допущения'!C34*'Допущения'!$B$8*$B54*'Допущения'!F34*(1+'Допущения'!$B$14)^3+G54/(1+'Допущения'!$B$9)*'Допущения'!E35+'Допущения'!C35*'Допущения'!$B$8*$B54*'Допущения'!F35*(1+'Допущения'!$B$14)^3+H54/(1+'Допущения'!$B$9)*'Допущения'!E36+'Допущения'!C36*'Допущения'!$B$8*$B54*'Допущения'!F36*(1+'Допущения'!$B$14)^3+I54/(1+'Допущения'!$B$9)*'Допущения'!E37+'Допущения'!C37*'Допущения'!$B$8*$B54*'Допущения'!F37*(1+'Допущения'!$B$14)^3</x:f>
        <x:v>195954.43343935828</x:v>
      </x:c>
      <x:c r="M54" s="9" t="n">
        <x:f>J54*'Допущения'!$B$11</x:f>
        <x:v>37418.64144980847</x:v>
      </x:c>
      <x:c r="N54" s="9" t="n">
        <x:f>'Инвестиции'!$C$35*(1+'Допущения'!$B$14)^3</x:f>
        <x:v>627226.9551450001</x:v>
      </x:c>
      <x:c r="O54" s="9" t="n">
        <x:f>K54*'Допущения'!$B$10</x:f>
        <x:v>106910.4041423099</x:v>
      </x:c>
      <x:c r="P54" s="9" t="n">
        <x:f>K54*'Допущения'!$B$12</x:f>
        <x:v>35636.80138076997</x:v>
      </x:c>
      <x:c r="Q54" s="7" t="n">
        <x:f>K54-L54-M54-N54</x:f>
        <x:v>921240.0390043316</x:v>
      </x:c>
      <x:c r="R54" s="7" t="n">
        <x:f>Q54-O54-P54</x:f>
        <x:v>778692.8334812517</x:v>
      </x:c>
      <x:c r="S54" s="7" t="n">
        <x:f>S53+R54</x:f>
        <x:v>14623448.340000723</x:v>
      </x:c>
      <x:c r="T54" s="7" t="n">
        <x:f>IF(S54&gt;=0,A54,999)</x:f>
        <x:v>48</x:v>
      </x:c>
      <x:c r="U54" s="22" t="n">
        <x:f>'Допущения'!C31*'Допущения'!$B$8*B54*'Допущения'!$B$17/'Допущения'!$B$18/'Допущения'!$B$16</x:f>
        <x:v>7.8576656394453</x:v>
      </x:c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5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События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Неделя</x:v>
      </x:c>
      <x:c r="B6" s="25" t="str">
        <x:v>Формат</x:v>
      </x:c>
      <x:c r="C6" s="24" t="str">
        <x:v>Частота</x:v>
      </x:c>
      <x:c r="D6" s="24" t="str">
        <x:v>Расход на событие, ₽</x:v>
      </x:c>
      <x:c r="E6" s="24" t="str">
        <x:v>Промо, ₽</x:v>
      </x:c>
      <x:c r="F6" s="24" t="str">
        <x:v>Учет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58" customHeight="1">
      <x:c r="A7" s="30" t="str">
        <x:v>1</x:v>
      </x:c>
      <x:c r="B7" s="28" t="str">
        <x:v>Семейный квест + навык</x:v>
      </x:c>
      <x:c r="C7" s="28" t="str">
        <x:v>Сб 12:00 / Вс 16:00</x:v>
      </x:c>
      <x:c r="D7" s="28" t="n">
        <x:v>1800</x:v>
      </x:c>
      <x:c r="E7" s="28" t="n">
        <x:v>1400</x:v>
      </x:c>
      <x:c r="F7" s="28" t="str">
        <x:v>Включено во вход, не отдельная выручка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58" customHeight="1">
      <x:c r="A8" s="30" t="str">
        <x:v>2</x:v>
      </x:c>
      <x:c r="B8" s="28" t="str">
        <x:v>Творческая мастерская</x:v>
      </x:c>
      <x:c r="C8" s="28" t="str">
        <x:v>Ср 17:00 / Сб 14:00</x:v>
      </x:c>
      <x:c r="D8" s="28" t="n">
        <x:v>1200</x:v>
      </x:c>
      <x:c r="E8" s="28" t="n">
        <x:v>1050</x:v>
      </x:c>
      <x:c r="F8" s="28" t="str">
        <x:v>Материалы в прямых расходах мастер-классов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58" customHeight="1">
      <x:c r="A9" s="30" t="str">
        <x:v>3</x:v>
      </x:c>
      <x:c r="B9" s="28" t="str">
        <x:v>Световая семейная дискотека</x:v>
      </x:c>
      <x:c r="C9" s="28" t="str">
        <x:v>Пт 18:00</x:v>
      </x:c>
      <x:c r="D9" s="28" t="n">
        <x:v>2000</x:v>
      </x:c>
      <x:c r="E9" s="28" t="n">
        <x:v>1400</x:v>
      </x:c>
      <x:c r="F9" s="28" t="str">
        <x:v>Включено во вход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58" customHeight="1">
      <x:c r="A10" s="30" t="str">
        <x:v>4</x:v>
      </x:c>
      <x:c r="B10" s="28" t="str">
        <x:v>Командный турнир / день рождения клуба</x:v>
      </x:c>
      <x:c r="C10" s="28" t="str">
        <x:v>Вс 15:00</x:v>
      </x:c>
      <x:c r="D10" s="28" t="n">
        <x:v>3000</x:v>
      </x:c>
      <x:c r="E10" s="28" t="n">
        <x:v>1750</x:v>
      </x:c>
      <x:c r="F10" s="28" t="str">
        <x:v>Неделя теста, призы без денежных выплат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Правило бюджета</x:v>
      </x:c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Промо событий входит в текущую рекламу, а не прибавляется к ней повторно.</x:v>
      </x:c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Штатный ведущий входит в ФОТ; материалы и приглашенные артисты — в прямые затраты.</x:v>
      </x:c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100 м²: только два публичных блока в неделю; частный праздник занимает общую сцену.</x:v>
      </x:c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После четырех недель оставлять форматы с повторными визитами и положительным вкладом.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