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e424060e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d5f30753c780408e"/>
    <x:sheet xmlns:r="http://schemas.openxmlformats.org/officeDocument/2006/relationships" name="Допущения" sheetId="2" r:id="R821c0b059b614cd0"/>
    <x:sheet xmlns:r="http://schemas.openxmlformats.org/officeDocument/2006/relationships" name="Оборудование" sheetId="3" r:id="R888ee43744f840ec"/>
    <x:sheet xmlns:r="http://schemas.openxmlformats.org/officeDocument/2006/relationships" name="Персонал" sheetId="4" r:id="R0d71cc2e665f4cae"/>
    <x:sheet xmlns:r="http://schemas.openxmlformats.org/officeDocument/2006/relationships" name="Электрика" sheetId="5" r:id="Rf79e86f8b7674ec1"/>
    <x:sheet xmlns:r="http://schemas.openxmlformats.org/officeDocument/2006/relationships" name="Инвестиции" sheetId="6" r:id="Rab69a0f6953e4531"/>
    <x:sheet xmlns:r="http://schemas.openxmlformats.org/officeDocument/2006/relationships" name="Зоны" sheetId="7" r:id="Rcf8bc118bea04462"/>
    <x:sheet xmlns:r="http://schemas.openxmlformats.org/officeDocument/2006/relationships" name="Поток 48 мес" sheetId="8" r:id="Reed6f6155b954006"/>
    <x:sheet xmlns:r="http://schemas.openxmlformats.org/officeDocument/2006/relationships" name="События" sheetId="9" r:id="R13a1491c11d74d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651A1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f081dd36c4032" /><Relationship Type="http://schemas.openxmlformats.org/officeDocument/2006/relationships/theme" Target="/xl/theme/theme1.xml" Id="Rd3b57831f2a74fed" /><Relationship Type="http://schemas.openxmlformats.org/officeDocument/2006/relationships/sharedStrings" Target="/xl/sharedStrings.xml" Id="Rd8ee3b17821443cb" /><Relationship Type="http://schemas.openxmlformats.org/officeDocument/2006/relationships/worksheet" Target="/xl/worksheets/sheet1.xml" Id="Rd5f30753c780408e" /><Relationship Type="http://schemas.openxmlformats.org/officeDocument/2006/relationships/worksheet" Target="/xl/worksheets/sheet2.xml" Id="R821c0b059b614cd0" /><Relationship Type="http://schemas.openxmlformats.org/officeDocument/2006/relationships/worksheet" Target="/xl/worksheets/sheet3.xml" Id="R888ee43744f840ec" /><Relationship Type="http://schemas.openxmlformats.org/officeDocument/2006/relationships/worksheet" Target="/xl/worksheets/sheet4.xml" Id="R0d71cc2e665f4cae" /><Relationship Type="http://schemas.openxmlformats.org/officeDocument/2006/relationships/worksheet" Target="/xl/worksheets/sheet5.xml" Id="Rf79e86f8b7674ec1" /><Relationship Type="http://schemas.openxmlformats.org/officeDocument/2006/relationships/worksheet" Target="/xl/worksheets/sheet6.xml" Id="Rab69a0f6953e4531" /><Relationship Type="http://schemas.openxmlformats.org/officeDocument/2006/relationships/worksheet" Target="/xl/worksheets/sheet7.xml" Id="Rcf8bc118bea04462" /><Relationship Type="http://schemas.openxmlformats.org/officeDocument/2006/relationships/worksheet" Target="/xl/worksheets/sheet8.xml" Id="Reed6f6155b954006" /><Relationship Type="http://schemas.openxmlformats.org/officeDocument/2006/relationships/worksheet" Target="/xl/worksheets/sheet9.xml" Id="R13a1491c11d74d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1000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Город открытий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'Оборудование'!E28</x:f>
        <x:v>11735300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'Инвестиции'!C20</x:f>
        <x:v>54494419.539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10151620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4463172.410809524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12.209794855116492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15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102333491.44067796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39345897.50562226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150842461.49165282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4032277.2610718426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2619.171743968719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90.48662499999999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'Персонал'!C16</x:f>
        <x:v>30.4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120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49.95454545454545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1000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1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0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'Зоны'!O14-'Инвестиции'!C20</x:f>
        <x:v>-7.450580596923828e-9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0.41628787878787876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1.57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1.57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IF(B5=4,2.5,2.5)</x:f>
        <x:v>2.5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120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4200</x:v>
      </x:c>
      <x:c r="D31" s="10" t="n">
        <x:v>800</x:v>
      </x:c>
      <x:c r="E31" s="14" t="n">
        <x:v>0.02</x:v>
      </x:c>
      <x:c r="F31" s="10" t="n">
        <x:v>0</x:v>
      </x:c>
      <x:c r="G31" s="14" t="n">
        <x:v>0.35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1800</x:v>
      </x:c>
      <x:c r="D32" s="10" t="n">
        <x:v>220</x:v>
      </x:c>
      <x:c r="E32" s="14" t="n">
        <x:v>0.05</x:v>
      </x:c>
      <x:c r="F32" s="10" t="n">
        <x:v>0</x:v>
      </x:c>
      <x:c r="G32" s="14" t="n">
        <x:v>0.15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10" t="n">
        <x:v>4000</x:v>
      </x:c>
      <x:c r="D33" s="10" t="n">
        <x:v>150</x:v>
      </x:c>
      <x:c r="E33" s="14" t="n">
        <x:v>0.2</x:v>
      </x:c>
      <x:c r="F33" s="10" t="n">
        <x:v>0</x:v>
      </x:c>
      <x:c r="G33" s="14" t="n">
        <x:v>0.12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40</x:v>
      </x:c>
      <x:c r="D34" s="10" t="n">
        <x:v>18000</x:v>
      </x:c>
      <x:c r="E34" s="14" t="n">
        <x:v>0.25</x:v>
      </x:c>
      <x:c r="F34" s="10" t="n">
        <x:v>0</x:v>
      </x:c>
      <x:c r="G34" s="14" t="n">
        <x:v>0.12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2200</x:v>
      </x:c>
      <x:c r="D35" s="10" t="n">
        <x:v>550</x:v>
      </x:c>
      <x:c r="E35" s="14" t="n">
        <x:v>0.35</x:v>
      </x:c>
      <x:c r="F35" s="10" t="n">
        <x:v>0</x:v>
      </x:c>
      <x:c r="G35" s="14" t="n">
        <x:v>0.14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180</x:v>
      </x:c>
      <x:c r="D36" s="10" t="n">
        <x:v>500</x:v>
      </x:c>
      <x:c r="E36" s="14" t="n">
        <x:v>0.3</x:v>
      </x:c>
      <x:c r="F36" s="10" t="n">
        <x:v>0</x:v>
      </x:c>
      <x:c r="G36" s="14" t="n">
        <x:v>0.08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450</x:v>
      </x:c>
      <x:c r="D37" s="10" t="n">
        <x:v>200</x:v>
      </x:c>
      <x:c r="E37" s="14" t="n">
        <x:v>0</x:v>
      </x:c>
      <x:c r="F37" s="10" t="n">
        <x:v>50</x:v>
      </x:c>
      <x:c r="G37" s="14" t="n">
        <x:v>0.04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Источник / статус мощности</x:v>
      </x:c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M4</x:v>
      </x:c>
      <x:c r="B7" s="28" t="str">
        <x:v>Лабиринт «Ясный День»</x:v>
      </x:c>
      <x:c r="C7" s="10" t="n">
        <x:v>1</x:v>
      </x:c>
      <x:c r="D7" s="10" t="n">
        <x:v>2269380</x:v>
      </x:c>
      <x:c r="E7" s="7" t="n">
        <x:f>C7*D7</x:f>
        <x:v>2269380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https://robotail.ru/product/detskiy-igrovoy-labirint-yasnyy-den-80-m-1156954-m</x:v>
      </x:c>
      <x:c r="J7" s="28" t="str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P1</x:v>
      </x:c>
      <x:c r="B8" s="28" t="str">
        <x:v>Pixel Battle 96: полный комплект</x:v>
      </x:c>
      <x:c r="C8" s="10" t="n">
        <x:v>2</x:v>
      </x:c>
      <x:c r="D8" s="10" t="n">
        <x:v>808840</x:v>
      </x:c>
      <x:c r="E8" s="7" t="n">
        <x:f>C8*D8</x:f>
        <x:v>1617680</x:v>
      </x:c>
      <x:c r="F8" s="19" t="n">
        <x:v>2</x:v>
      </x:c>
      <x:c r="G8" s="18" t="n">
        <x:f>C8*F8</x:f>
        <x:v>4</x:v>
      </x:c>
      <x:c r="H8" s="28" t="str">
        <x:v>Резерв, паспорт не опубликован</x:v>
      </x:c>
      <x:c r="I8" s="28" t="str">
        <x:v>https://robotail.ru/product/gotovaya-igrovaya-arena-pixel-battle-96-plitok-komplekt-vsyo-vklyucheno</x:v>
      </x:c>
      <x:c r="J8" s="28" t="str">
        <x:v>Поле, ПК, игры, звук, стойка, ТВ, шкаф и кабели в комплекте; не считать повторно.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W1</x:v>
      </x:c>
      <x:c r="B9" s="28" t="str">
        <x:v>Проектор настенный NEW</x:v>
      </x:c>
      <x:c r="C9" s="10" t="n">
        <x:v>1</x:v>
      </x:c>
      <x:c r="D9" s="10" t="n">
        <x:v>189000</x:v>
      </x:c>
      <x:c r="E9" s="7" t="n">
        <x:f>C9*D9</x:f>
        <x:v>189000</x:v>
      </x:c>
      <x:c r="F9" s="19" t="n">
        <x:v>0.8</x:v>
      </x:c>
      <x:c r="G9" s="18" t="n">
        <x:f>C9*F9</x:f>
        <x:v>0.8</x:v>
      </x:c>
      <x:c r="H9" s="28" t="str">
        <x:v>Расчетный резерв</x:v>
      </x:c>
      <x:c r="I9" s="28" t="str">
        <x:v>https://robotail.ru/product/interaktivnyy-proektor-nastennyy-new-maksimalnaya-komplektatsiya</x:v>
      </x:c>
      <x:c r="J9" s="28" t="str">
        <x:v>Габарит на плане — игровая зона, не корпус. Монтаж по оптике проектора.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F1</x:v>
      </x:c>
      <x:c r="B10" s="28" t="str">
        <x:v>Проектор напольный Max</x:v>
      </x:c>
      <x:c r="C10" s="10" t="n">
        <x:v>1</x:v>
      </x:c>
      <x:c r="D10" s="10" t="n">
        <x:v>210000</x:v>
      </x:c>
      <x:c r="E10" s="7" t="n">
        <x:f>C10*D10</x:f>
        <x:v>210000</x:v>
      </x:c>
      <x:c r="F10" s="19" t="n">
        <x:v>0.8</x:v>
      </x:c>
      <x:c r="G10" s="18" t="n">
        <x:f>C10*F10</x:f>
        <x:v>0.8</x:v>
      </x:c>
      <x:c r="H10" s="28" t="str">
        <x:v>Расчетный резерв</x:v>
      </x:c>
      <x:c r="I10" s="28" t="str">
        <x:v>https://robotail.ru/product/interaktivnyy-proektor-napolnyy-maksimalnaya-komplektatsiya</x:v>
      </x:c>
      <x:c r="J10" s="28" t="str">
        <x:v>Габарит — игровое поле. ПК и крепеж учтены в комплекте.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L1</x:v>
      </x:c>
      <x:c r="B11" s="28" t="str">
        <x:v>Лазерный лабиринт 38 м²</x:v>
      </x:c>
      <x:c r="C11" s="10" t="n">
        <x:v>1</x:v>
      </x:c>
      <x:c r="D11" s="10" t="n">
        <x:v>680000</x:v>
      </x:c>
      <x:c r="E11" s="7" t="n">
        <x:f>C11*D11</x:f>
        <x:v>680000</x:v>
      </x:c>
      <x:c r="F11" s="19" t="n">
        <x:v>1</x:v>
      </x:c>
      <x:c r="G11" s="18" t="n">
        <x:f>C11*F11</x:f>
        <x:v>1</x:v>
      </x:c>
      <x:c r="H11" s="28" t="str">
        <x:v>Расчетный резерв</x:v>
      </x:c>
      <x:c r="I11" s="28" t="str">
        <x:v>https://robotail.ru/product/lazernyy-labirint</x:v>
      </x:c>
      <x:c r="J11" s="28" t="str">
        <x:v>Габарит комнаты — допущение; нужен паспорт лазеров, класс и оценка доступного излучения.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T1</x:v>
      </x:c>
      <x:c r="B12" s="28" t="str">
        <x:v>Интерактивная «Топталка»</x:v>
      </x:c>
      <x:c r="C12" s="10" t="n">
        <x:v>1</x:v>
      </x:c>
      <x:c r="D12" s="10" t="n">
        <x:v>490000</x:v>
      </x:c>
      <x:c r="E12" s="7" t="n">
        <x:f>C12*D12</x:f>
        <x:v>490000</x:v>
      </x:c>
      <x:c r="F12" s="19" t="n">
        <x:v>0.6</x:v>
      </x:c>
      <x:c r="G12" s="18" t="n">
        <x:f>C12*F12</x:f>
        <x:v>0.6</x:v>
      </x:c>
      <x:c r="H12" s="28" t="str">
        <x:v>Расчетный резерв</x:v>
      </x:c>
      <x:c r="I12" s="28" t="str">
        <x:v>https://robotail.ru/product/interaktiv-bystrye-nogi</x:v>
      </x:c>
      <x:c r="J12" s="28" t="str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J1</x:v>
      </x:c>
      <x:c r="B13" s="28" t="str">
        <x:v>Energy Jump</x:v>
      </x:c>
      <x:c r="C13" s="10" t="n">
        <x:v>1</x:v>
      </x:c>
      <x:c r="D13" s="10" t="n">
        <x:v>790000</x:v>
      </x:c>
      <x:c r="E13" s="7" t="n">
        <x:f>C13*D13</x:f>
        <x:v>790000</x:v>
      </x:c>
      <x:c r="F13" s="19" t="n">
        <x:v>0.4</x:v>
      </x:c>
      <x:c r="G13" s="18" t="n">
        <x:f>C13*F13</x:f>
        <x:v>0.4</x:v>
      </x:c>
      <x:c r="H13" s="28" t="str">
        <x:v>400 Вт в описании; поле напряжения противоречиво</x:v>
      </x:c>
      <x:c r="I13" s="28" t="str">
        <x:v>https://robotail.ru/product/interaktivnyy-batut-energy-jump</x:v>
      </x:c>
      <x:c r="J13" s="28" t="str">
        <x:v>Питание не считать 400 В по названию поля: требуется паспорт и подтверждение изготовителя.</x:v>
      </x:c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V1</x:v>
      </x:c>
      <x:c r="B14" s="28" t="str">
        <x:v>VR Crazy Egg, два места</x:v>
      </x:c>
      <x:c r="C14" s="10" t="n">
        <x:v>1</x:v>
      </x:c>
      <x:c r="D14" s="10" t="n">
        <x:v>890000</x:v>
      </x:c>
      <x:c r="E14" s="7" t="n">
        <x:f>C14*D14</x:f>
        <x:v>890000</x:v>
      </x:c>
      <x:c r="F14" s="19" t="n">
        <x:v>0.8</x:v>
      </x:c>
      <x:c r="G14" s="18" t="n">
        <x:f>C14*F14</x:f>
        <x:v>0.8</x:v>
      </x:c>
      <x:c r="H14" s="28" t="str">
        <x:v>800 Вт по сайту</x:v>
      </x:c>
      <x:c r="I14" s="28" t="str">
        <x:v>https://robotail.ru/product/attraktsion-virtualnoy-realnosti-srazy-egg-10d</x:v>
      </x:c>
      <x:c r="J14" s="28" t="str">
        <x:v>6+ по карточке. Стойка оператора дополнительно 0,55×0,5 м; зона движения по паспорту.</x:v>
      </x:c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A1</x:v>
      </x:c>
      <x:c r="B15" s="28" t="str">
        <x:v>Аркада «4 в ряд 2.0», базовая</x:v>
      </x:c>
      <x:c r="C15" s="10" t="n">
        <x:v>3</x:v>
      </x:c>
      <x:c r="D15" s="10" t="n">
        <x:v>362000</x:v>
      </x:c>
      <x:c r="E15" s="7" t="n">
        <x:f>C15*D15</x:f>
        <x:v>1086000</x:v>
      </x:c>
      <x:c r="F15" s="19" t="n">
        <x:v>0.13</x:v>
      </x:c>
      <x:c r="G15" s="18" t="n">
        <x:f>C15*F15</x:f>
        <x:v>0.39</x:v>
      </x:c>
      <x:c r="H15" s="28" t="str">
        <x:v>130 Вт по сайту</x:v>
      </x:c>
      <x:c r="I15" s="28" t="str">
        <x:v>https://robotail.ru/product/prizovoy-arkadnyy-avtomat-4-v-ryad-20</x:v>
      </x:c>
      <x:c r="J15" s="28" t="str">
        <x:v>Без витрины. В проекте только режим навыка и прозрачные баллы, без денежных призов.</x:v>
      </x:c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A2</x:v>
      </x:c>
      <x:c r="B16" s="28" t="str">
        <x:v>Retro Games «Комиксы»</x:v>
      </x:c>
      <x:c r="C16" s="10" t="n">
        <x:v>3</x:v>
      </x:c>
      <x:c r="D16" s="10" t="n">
        <x:v>145600</x:v>
      </x:c>
      <x:c r="E16" s="7" t="n">
        <x:f>C16*D16</x:f>
        <x:v>436800</x:v>
      </x:c>
      <x:c r="F16" s="19" t="n">
        <x:v>0.15</x:v>
      </x:c>
      <x:c r="G16" s="18" t="n">
        <x:f>C16*F16</x:f>
        <x:v>0.44999999999999996</x:v>
      </x:c>
      <x:c r="H16" s="28" t="str">
        <x:v>150 Вт по сайту</x:v>
      </x:c>
      <x:c r="I16" s="28" t="str">
        <x:v>https://robotail.ru/product/retro-games-komiksy-arkadnyy-avtomat</x:v>
      </x:c>
      <x:c r="J16" s="28" t="str">
        <x:v>7+ по карточке.</x:v>
      </x:c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 t="str">
        <x:v>A3</x:v>
      </x:c>
      <x:c r="B17" s="28" t="str">
        <x:v>Супер Драйв</x:v>
      </x:c>
      <x:c r="C17" s="10" t="n">
        <x:v>3</x:v>
      </x:c>
      <x:c r="D17" s="10" t="n">
        <x:v>168000</x:v>
      </x:c>
      <x:c r="E17" s="7" t="n">
        <x:f>C17*D17</x:f>
        <x:v>504000</x:v>
      </x:c>
      <x:c r="F17" s="19" t="n">
        <x:v>0.3</x:v>
      </x:c>
      <x:c r="G17" s="18" t="n">
        <x:f>C17*F17</x:f>
        <x:v>0.8999999999999999</x:v>
      </x:c>
      <x:c r="H17" s="28" t="str">
        <x:v>Расчетный резерв</x:v>
      </x:c>
      <x:c r="I17" s="28" t="str">
        <x:v>https://robotail.ru/product/super-drayv-detskiy-gonochnyy-video-simulyator</x:v>
      </x:c>
      <x:c r="J17" s="28" t="str">
        <x:v>5+ по карточке.</x:v>
      </x:c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38" customHeight="1">
      <x:c r="A18" s="1" t="str">
        <x:v>A4</x:v>
      </x:c>
      <x:c r="B18" s="28" t="str">
        <x:v>Аэрохоккей стальной с лампой 220×120</x:v>
      </x:c>
      <x:c r="C18" s="10" t="n">
        <x:v>2</x:v>
      </x:c>
      <x:c r="D18" s="10" t="n">
        <x:v>237500</x:v>
      </x:c>
      <x:c r="E18" s="7" t="n">
        <x:f>C18*D18</x:f>
        <x:v>475000</x:v>
      </x:c>
      <x:c r="F18" s="19" t="n">
        <x:v>0.5</x:v>
      </x:c>
      <x:c r="G18" s="18" t="n">
        <x:f>C18*F18</x:f>
        <x:v>1</x:v>
      </x:c>
      <x:c r="H18" s="28" t="str">
        <x:v>Расчетный резерв</x:v>
      </x:c>
      <x:c r="I18" s="28" t="str">
        <x:v>https://robotail.ru/product/aerohokkey-kosmos-22012075-sm-plexiglas</x:v>
      </x:c>
      <x:c r="J18" s="28" t="str">
        <x:v>175 кг; рабочая зона с игроками ориентировочно 4,4×2,2 м. 7+.</x:v>
      </x:c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38" customHeight="1">
      <x:c r="A19" s="1" t="str">
        <x:v>A5</x:v>
      </x:c>
      <x:c r="B19" s="28" t="str">
        <x:v>Rocky Boxer NEW</x:v>
      </x:c>
      <x:c r="C19" s="10" t="n">
        <x:v>1</x:v>
      </x:c>
      <x:c r="D19" s="10" t="n">
        <x:v>225000</x:v>
      </x:c>
      <x:c r="E19" s="7" t="n">
        <x:f>C19*D19</x:f>
        <x:v>225000</x:v>
      </x:c>
      <x:c r="F19" s="19" t="n">
        <x:v>0.04</x:v>
      </x:c>
      <x:c r="G19" s="18" t="n">
        <x:f>C19*F19</x:f>
        <x:v>0.04</x:v>
      </x:c>
      <x:c r="H19" s="28" t="str">
        <x:v>40 Вт по описанию</x:v>
      </x:c>
      <x:c r="I19" s="28" t="str">
        <x:v>https://robotail.ru/product/silomer-rocky-boxer-4-h-znachnyy-displey-korpus-new</x:v>
      </x:c>
      <x:c r="J19" s="28" t="str">
        <x:v>Только подростки 12+ и взрослые, отдельная зона удара.</x:v>
      </x:c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38" customHeight="1">
      <x:c r="A20" s="1" t="str">
        <x:v>C1</x:v>
      </x:c>
      <x:c r="B20" s="28" t="str">
        <x:v>Шахматный робот Chess</x:v>
      </x:c>
      <x:c r="C20" s="10" t="n">
        <x:v>2</x:v>
      </x:c>
      <x:c r="D20" s="10" t="n">
        <x:v>149000</x:v>
      </x:c>
      <x:c r="E20" s="7" t="n">
        <x:f>C20*D20</x:f>
        <x:v>298000</x:v>
      </x:c>
      <x:c r="F20" s="19" t="n">
        <x:v>0.05</x:v>
      </x:c>
      <x:c r="G20" s="18" t="n">
        <x:f>C20*F20</x:f>
        <x:v>0.1</x:v>
      </x:c>
      <x:c r="H20" s="28" t="str">
        <x:v>Расчетный резерв</x:v>
      </x:c>
      <x:c r="I20" s="28" t="str">
        <x:v>https://robotail.ru/product/shahmatnyy-robot-chess</x:v>
      </x:c>
      <x:c r="J20" s="28" t="str">
        <x:v>На столе в кафе, отдельная выручка не начисляется.</x:v>
      </x:c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38" customHeight="1">
      <x:c r="A21" s="1" t="str">
        <x:v>H1</x:v>
      </x:c>
      <x:c r="B21" s="28" t="str">
        <x:v>Нейрофотостойка 43 дюйма</x:v>
      </x:c>
      <x:c r="C21" s="10" t="n">
        <x:v>1</x:v>
      </x:c>
      <x:c r="D21" s="10" t="n">
        <x:v>520000</x:v>
      </x:c>
      <x:c r="E21" s="7" t="n">
        <x:f>C21*D21</x:f>
        <x:v>520000</x:v>
      </x:c>
      <x:c r="F21" s="19" t="n">
        <x:v>0.078</x:v>
      </x:c>
      <x:c r="G21" s="18" t="n">
        <x:f>C21*F21</x:f>
        <x:v>0.078</x:v>
      </x:c>
      <x:c r="H21" s="28" t="str">
        <x:v>78 Вт по сайту</x:v>
      </x:c>
      <x:c r="I21" s="28" t="str">
        <x:v>https://robotail.ru/product/avtomat-momentalnogo-volshebstva-foto-neyroset</x:v>
      </x:c>
      <x:c r="J21" s="28" t="str">
        <x:v>Бумага, ИИ-тариф и согласия на фото уточняются; 50 ₽/снимок — допущение.</x:v>
      </x:c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38" customHeight="1">
      <x:c r="A22" s="1" t="str">
        <x:v>B1</x:v>
      </x:c>
      <x:c r="B22" s="28" t="str">
        <x:v>Сухой бассейн «Лягушонок» 1,2 м</x:v>
      </x:c>
      <x:c r="C22" s="10" t="n">
        <x:v>2</x:v>
      </x:c>
      <x:c r="D22" s="10" t="n">
        <x:v>20580</x:v>
      </x:c>
      <x:c r="E22" s="7" t="n">
        <x:f>C22*D22</x:f>
        <x:v>41160</x:v>
      </x:c>
      <x:c r="F22" s="19" t="n">
        <x:v>0</x:v>
      </x:c>
      <x:c r="G22" s="18" t="n">
        <x:f>C22*F22</x:f>
        <x:v>0</x:v>
      </x:c>
      <x:c r="H22" s="28" t="str">
        <x:v>Пассивный</x:v>
      </x:c>
      <x:c r="I22" s="28" t="str">
        <x:v>https://robotail.ru/product/basseyn-kvadratnyy-lyagushonok-razbornyy-120h120h40-sm</x:v>
      </x:c>
      <x:c r="J22" s="28" t="str">
        <x:v>Выбран первый вариант 120×120×40 см.</x:v>
      </x:c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38" customHeight="1">
      <x:c r="A23" s="1" t="str">
        <x:v>B2</x:v>
      </x:c>
      <x:c r="B23" s="28" t="str">
        <x:v>Сухой бассейн по проекту 7,3×2,85 м</x:v>
      </x:c>
      <x:c r="C23" s="10" t="n">
        <x:v>1</x:v>
      </x:c>
      <x:c r="D23" s="10" t="n">
        <x:v>242880</x:v>
      </x:c>
      <x:c r="E23" s="7" t="n">
        <x:f>C23*D23</x:f>
        <x:v>242880</x:v>
      </x:c>
      <x:c r="F23" s="19" t="n">
        <x:v>0</x:v>
      </x:c>
      <x:c r="G23" s="18" t="n">
        <x:f>C23*F23</x:f>
        <x:v>0</x:v>
      </x:c>
      <x:c r="H23" s="28" t="str">
        <x:v>Пассивный</x:v>
      </x:c>
      <x:c r="I23" s="28" t="str">
        <x:v>https://robotail.ru/product/suhoy-basseyn-po-individualnomu-proektu-73h285-m</x:v>
      </x:c>
      <x:c r="J23" s="28" t="str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38" customHeight="1">
      <x:c r="A24" s="1" t="str">
        <x:v>S1</x:v>
      </x:c>
      <x:c r="B24" s="28" t="str">
        <x:v>Мягкий конструктор «Форт», 17 элементов</x:v>
      </x:c>
      <x:c r="C24" s="10" t="n">
        <x:v>4</x:v>
      </x:c>
      <x:c r="D24" s="10" t="n">
        <x:v>17900</x:v>
      </x:c>
      <x:c r="E24" s="7" t="n">
        <x:f>C24*D24</x:f>
        <x:v>71600</x:v>
      </x:c>
      <x:c r="F24" s="19" t="n">
        <x:v>0</x:v>
      </x:c>
      <x:c r="G24" s="18" t="n">
        <x:f>C24*F24</x:f>
        <x:v>0</x:v>
      </x:c>
      <x:c r="H24" s="28" t="str">
        <x:v>Пассивный</x:v>
      </x:c>
      <x:c r="I24" s="28" t="str">
        <x:v>https://robotail.ru/product/detskie-moduli-konstruktor-fort-17-el</x:v>
      </x:c>
      <x:c r="J24" s="28" t="str">
        <x:v>2×2 м — зона игры, не габарит упаковки; наборы хранятся в стеллаже и выдаются поочередно.</x:v>
      </x:c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38" customHeight="1">
      <x:c r="A25" s="1" t="str">
        <x:v>B3</x:v>
      </x:c>
      <x:c r="B25" s="29" t="str">
        <x:v>Шарики для бассейна 70 мм, дополнительный запас</x:v>
      </x:c>
      <x:c r="C25" s="10" t="n">
        <x:v>25000</x:v>
      </x:c>
      <x:c r="D25" s="10" t="n">
        <x:v>6</x:v>
      </x:c>
      <x:c r="E25" s="7" t="n">
        <x:f>C25*D25</x:f>
        <x:v>150000</x:v>
      </x:c>
      <x:c r="F25" s="19" t="n">
        <x:v>0</x:v>
      </x:c>
      <x:c r="G25" s="18" t="n">
        <x:f>C25*F25</x:f>
        <x:v>0</x:v>
      </x:c>
      <x:c r="H25" s="28" t="str">
        <x:v>Пассивный</x:v>
      </x:c>
      <x:c r="I25" s="28" t="str">
        <x:v>https://robotail.ru/product/shariki-dlya-suhogo-basseyna-70-mm-2</x:v>
      </x:c>
      <x:c r="J25" s="28" t="str">
        <x:v>Количество предварительное. Исключить дубли с шарами из комплектации лабиринта по итоговой ведомости.</x:v>
      </x:c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38" customHeight="1">
      <x:c r="A26" s="1" t="str">
        <x:v>B4</x:v>
      </x:c>
      <x:c r="B26" s="29" t="str">
        <x:v>Фонтан «Триколор»</x:v>
      </x:c>
      <x:c r="C26" s="10" t="n">
        <x:v>1</x:v>
      </x:c>
      <x:c r="D26" s="10" t="n">
        <x:v>98800</x:v>
      </x:c>
      <x:c r="E26" s="7" t="n">
        <x:f>C26*D26</x:f>
        <x:v>98800</x:v>
      </x:c>
      <x:c r="F26" s="19" t="n">
        <x:v>0.6</x:v>
      </x:c>
      <x:c r="G26" s="18" t="n">
        <x:f>C26*F26</x:f>
        <x:v>0.6</x:v>
      </x:c>
      <x:c r="H26" s="28" t="str">
        <x:v>Резерв 600 Вт; в свойствах также 60 Вт</x:v>
      </x:c>
      <x:c r="I26" s="28" t="str">
        <x:v>https://robotail.ru/product/fontan-dlya-suhogo-basseyna-trikolor</x:v>
      </x:c>
      <x:c r="J26" s="28" t="str">
        <x:v>Противоречие 60/600 Вт. До закупки паспорт. В малом бассейне не ставить.</x:v>
      </x:c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38" customHeight="1">
      <x:c r="A27" s="1" t="str">
        <x:v>R1</x:v>
      </x:c>
      <x:c r="B27" s="29" t="str">
        <x:v>Шаромойка Компакт с сушкой</x:v>
      </x:c>
      <x:c r="C27" s="10" t="n">
        <x:v>1</x:v>
      </x:c>
      <x:c r="D27" s="10" t="n">
        <x:v>450000</x:v>
      </x:c>
      <x:c r="E27" s="7" t="n">
        <x:f>C27*D27</x:f>
        <x:v>450000</x:v>
      </x:c>
      <x:c r="F27" s="19" t="n">
        <x:v>2.5</x:v>
      </x:c>
      <x:c r="G27" s="18" t="n">
        <x:f>C27*F27</x:f>
        <x:v>2.5</x:v>
      </x:c>
      <x:c r="H27" s="28" t="str">
        <x:v>2,5 кВт по сайту</x:v>
      </x:c>
      <x:c r="I27" s="28" t="str">
        <x:v>https://robotail.ru/product/sharomoyka-kompakt-s-sushkoy</x:v>
      </x:c>
      <x:c r="J27" s="28" t="str">
        <x:v>Отдельная хозяйственная мойка, водоподготовка, слив и влажная электрозона.</x:v>
      </x:c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38" customHeight="1">
      <x:c r="A28" s="1"/>
      <x:c r="B28" s="29" t="str">
        <x:v>ИТОГО</x:v>
      </x:c>
      <x:c r="C28" s="7"/>
      <x:c r="D28" s="7"/>
      <x:c r="E28" s="7" t="n">
        <x:f>SUM(E7:E27)</x:f>
        <x:v>11735300</x:v>
      </x:c>
      <x:c r="F28" s="18"/>
      <x:c r="G28" s="18" t="n">
        <x:f>SUM(G7:G27)</x:f>
        <x:v>14.457999999999998</x:v>
      </x:c>
      <x:c r="H28" s="28"/>
      <x:c r="I28" s="28"/>
      <x:c r="J28" s="28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4.72</x:v>
      </x:c>
      <x:c r="D7" s="10" t="n">
        <x:v>45000</x:v>
      </x:c>
      <x:c r="E7" s="7" t="n">
        <x:f>C7*D7</x:f>
        <x:v>212400</x:v>
      </x:c>
      <x:c r="F7" s="7" t="n">
        <x:v>2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11.799999999999999</x:v>
      </x:c>
      <x:c r="D8" s="10" t="n">
        <x:v>45000</x:v>
      </x:c>
      <x:c r="E8" s="7" t="n">
        <x:f>C8*D8</x:f>
        <x:v>531000</x:v>
      </x:c>
      <x:c r="F8" s="7" t="n">
        <x:v>5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Бариста / работник кафе</x:v>
      </x:c>
      <x:c r="C9" s="17" t="n">
        <x:f>F9*ROUND('Допущения'!$B$22,2)</x:f>
        <x:v>4.72</x:v>
      </x:c>
      <x:c r="D9" s="10" t="n">
        <x:v>45000</x:v>
      </x:c>
      <x:c r="E9" s="7" t="n">
        <x:f>C9*D9</x:f>
        <x:v>212400</x:v>
      </x:c>
      <x:c r="F9" s="7" t="n">
        <x:v>2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Повар</x:v>
      </x:c>
      <x:c r="C10" s="17" t="n">
        <x:f>F10*ROUND('Допущения'!$B$22,2)</x:f>
        <x:v>2.36</x:v>
      </x:c>
      <x:c r="D10" s="10" t="n">
        <x:v>55000</x:v>
      </x:c>
      <x:c r="E10" s="7" t="n">
        <x:f>C10*D10</x:f>
        <x:v>129800</x:v>
      </x:c>
      <x:c r="F10" s="7" t="n">
        <x:v>1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Управляющий / старший смены</x:v>
      </x:c>
      <x:c r="C11" s="15" t="n">
        <x:v>1.5</x:v>
      </x:c>
      <x:c r="D11" s="10" t="n">
        <x:v>85000</x:v>
      </x:c>
      <x:c r="E11" s="7" t="n">
        <x:f>C11*D11</x:f>
        <x:v>127500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Уборщик</x:v>
      </x:c>
      <x:c r="C12" s="15" t="n">
        <x:v>2.5</x:v>
      </x:c>
      <x:c r="D12" s="10" t="n">
        <x:v>38000</x:v>
      </x:c>
      <x:c r="E12" s="7" t="n">
        <x:f>C12*D12</x:f>
        <x:v>95000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Техник</x:v>
      </x:c>
      <x:c r="C13" s="15" t="n">
        <x:v>1</x:v>
      </x:c>
      <x:c r="D13" s="10" t="n">
        <x:v>70000</x:v>
      </x:c>
      <x:c r="E13" s="7" t="n">
        <x:f>C13*D13</x:f>
        <x:v>70000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n">
        <x:v>8</x:v>
      </x:c>
      <x:c r="B14" s="7" t="str">
        <x:v>Аниматор / ведущий</x:v>
      </x:c>
      <x:c r="C14" s="15" t="n">
        <x:v>1.5</x:v>
      </x:c>
      <x:c r="D14" s="10" t="n">
        <x:v>50000</x:v>
      </x:c>
      <x:c r="E14" s="7" t="n">
        <x:f>C14*D14</x:f>
        <x:v>75000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n">
        <x:v>9</x:v>
      </x:c>
      <x:c r="B15" s="7" t="str">
        <x:v>Маркетолог, частичная занятость</x:v>
      </x:c>
      <x:c r="C15" s="15" t="n">
        <x:v>0.3</x:v>
      </x:c>
      <x:c r="D15" s="10" t="n">
        <x:v>60000</x:v>
      </x:c>
      <x:c r="E15" s="7" t="n">
        <x:f>C15*D15</x:f>
        <x:v>18000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ИТОГО ставок / ФОТ</x:v>
      </x:c>
      <x:c r="C16" s="16" t="n">
        <x:f>SUM(C7:C15)</x:f>
        <x:v>30.4</x:v>
      </x:c>
      <x:c r="D16" s="7"/>
      <x:c r="E16" s="7" t="n">
        <x:f>SUM(E7:E15)</x:f>
        <x:v>1471100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С резервом взносов</x:v>
      </x:c>
      <x:c r="C17" s="7"/>
      <x:c r="D17" s="7"/>
      <x:c r="E17" s="9" t="n">
        <x:f>E16*(1+'Допущения'!B15)</x:f>
        <x:v>1915372.2</x:v>
      </x:c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'Оборудование'!G28</x:f>
        <x:v>14.457999999999998</x:v>
      </x:c>
      <x:c r="D7" s="16" t="n">
        <x:v>0.85</x:v>
      </x:c>
      <x:c r="E7" s="16" t="n">
        <x:f>C7*D7</x:f>
        <x:v>12.289299999999999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8</x:v>
      </x:c>
      <x:c r="D8" s="16" t="n">
        <x:v>0.95</x:v>
      </x:c>
      <x:c r="E8" s="16" t="n">
        <x:f>C8*D8</x:f>
        <x:v>7.6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25</x:v>
      </x:c>
      <x:c r="D9" s="16" t="n">
        <x:v>0.8</x:v>
      </x:c>
      <x:c r="E9" s="16" t="n">
        <x:f>C9*D9</x:f>
        <x:v>20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40</x:v>
      </x:c>
      <x:c r="D10" s="16" t="n">
        <x:v>0.65</x:v>
      </x:c>
      <x:c r="E10" s="16" t="n">
        <x:f>C10*D10</x:f>
        <x:v>26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4</x:v>
      </x:c>
      <x:c r="D11" s="16" t="n">
        <x:v>0.5</x:v>
      </x:c>
      <x:c r="E11" s="16" t="n">
        <x:f>C11*D11</x:f>
        <x:v>2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5</x:v>
      </x:c>
      <x:c r="D12" s="16" t="n">
        <x:v>0.6</x:v>
      </x:c>
      <x:c r="E12" s="16" t="n">
        <x:f>C12*D12</x:f>
        <x:v>3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3</x:v>
      </x:c>
      <x:c r="D13" s="16" t="n">
        <x:v>0.5</x:v>
      </x:c>
      <x:c r="E13" s="16" t="n">
        <x:f>C13*D13</x:f>
        <x:v>1.5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99.458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72.38929999999999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90.48662499999999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137.4842363559013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17373.431999999997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156360.88799999998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30" t="n">
        <x:f>'Оборудование'!E28</x:f>
        <x:v>11735300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938824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16000000</x:v>
      </x:c>
      <x:c r="D9" s="28" t="str">
        <x:v>16000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3000000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700000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600000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6000000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1000000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Основные вложения</x:v>
      </x:c>
      <x:c r="C15" s="7" t="n">
        <x:f>SUM(C7:C14)</x:f>
        <x:v>39974124</x:v>
      </x:c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Непредвиденные, 10%</x:v>
      </x:c>
      <x:c r="C16" s="7" t="n">
        <x:f>C15*0.10</x:f>
        <x:v>3997412.4000000004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Депозит аренды: два месяца</x:v>
      </x:c>
      <x:c r="C17" s="7" t="n">
        <x:v>1100000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Реклама запуска</x:v>
      </x:c>
      <x:c r="C18" s="7" t="n">
        <x:v>600000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Оборотный резерв: 3 месяца fixed</x:v>
      </x:c>
      <x:c r="C19" s="7" t="n">
        <x:f>C35*3</x:f>
        <x:v>8822883.139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ВСЕГО стартовый бюджет</x:v>
      </x:c>
      <x:c r="C20" s="7" t="n">
        <x:f>SUM(C15:C19)</x:f>
        <x:v>54494419.539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'Персонал'!E17</x:f>
        <x:v>1915372.2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550000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156360.88799999998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60000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150000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40000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7" t="n">
        <x:f>C7*0.035/12</x:f>
        <x:v>34227.958333333336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35000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2940961.0463333335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6594</x:v>
      </x:c>
      <x:c r="D7" s="9" t="n">
        <x:f>'Допущения'!D31</x:f>
        <x:v>800</x:v>
      </x:c>
      <x:c r="E7" s="7" t="n">
        <x:f>C7*D7</x:f>
        <x:v>5275200</x:v>
      </x:c>
      <x:c r="F7" s="9" t="n">
        <x:f>E7/(1+'Допущения'!$B$9)</x:f>
        <x:v>5024000</x:v>
      </x:c>
      <x:c r="G7" s="9" t="n">
        <x:f>F7*'Допущения'!E31+C7*'Допущения'!F31</x:f>
        <x:v>100480</x:v>
      </x:c>
      <x:c r="H7" s="9" t="n">
        <x:f>E7*'Допущения'!$B$11</x:f>
        <x:v>105504</x:v>
      </x:c>
      <x:c r="I7" s="7" t="n">
        <x:f>F7-G7-H7</x:f>
        <x:v>4818016</x:v>
      </x:c>
      <x:c r="J7" s="9" t="n">
        <x:f>'Инвестиции'!$C$35*'Допущения'!G31/SUM('Допущения'!$G$31:$G$37)</x:f>
        <x:v>1029336.3662166666</x:v>
      </x:c>
      <x:c r="K7" s="9" t="n">
        <x:f>F7*'Допущения'!$B$10</x:f>
        <x:v>301440</x:v>
      </x:c>
      <x:c r="L7" s="9" t="n">
        <x:f>F7*'Допущения'!$B$12</x:f>
        <x:v>100480</x:v>
      </x:c>
      <x:c r="M7" s="7" t="n">
        <x:f>I7-J7-K7-L7</x:f>
        <x:v>3386759.6337833335</x:v>
      </x:c>
      <x:c r="N7" s="20" t="n">
        <x:f>E7/SUM($E$7:$E$13)</x:f>
        <x:v>0.5196412001237241</x:v>
      </x:c>
      <x:c r="O7" s="9" t="n">
        <x:f>'Инвестиции'!$C$20*'Допущения'!G31/SUM('Допущения'!$G$31:$G$37)</x:f>
        <x:v>19073046.83865</x:v>
      </x:c>
      <x:c r="P7" s="21" t="n">
        <x:f>IF(M7&gt;0,O7/M7,"нет")</x:f>
        <x:v>5.631650574901765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2826</x:v>
      </x:c>
      <x:c r="D8" s="9" t="n">
        <x:f>'Допущения'!D32</x:f>
        <x:v>220</x:v>
      </x:c>
      <x:c r="E8" s="7" t="n">
        <x:f>C8*D8</x:f>
        <x:v>621720</x:v>
      </x:c>
      <x:c r="F8" s="9" t="n">
        <x:f>E8/(1+'Допущения'!$B$9)</x:f>
        <x:v>592114.2857142857</x:v>
      </x:c>
      <x:c r="G8" s="9" t="n">
        <x:f>F8*'Допущения'!E32+C8*'Допущения'!F32</x:f>
        <x:v>29605.714285714286</x:v>
      </x:c>
      <x:c r="H8" s="9" t="n">
        <x:f>E8*'Допущения'!$B$11</x:f>
        <x:v>12434.4</x:v>
      </x:c>
      <x:c r="I8" s="7" t="n">
        <x:f>F8-G8-H8</x:f>
        <x:v>550074.1714285713</x:v>
      </x:c>
      <x:c r="J8" s="9" t="n">
        <x:f>'Инвестиции'!$C$35*'Допущения'!G32/SUM('Допущения'!$G$31:$G$37)</x:f>
        <x:v>441144.15695000003</x:v>
      </x:c>
      <x:c r="K8" s="9" t="n">
        <x:f>F8*'Допущения'!$B$10</x:f>
        <x:v>35526.85714285714</x:v>
      </x:c>
      <x:c r="L8" s="9" t="n">
        <x:f>F8*'Допущения'!$B$12</x:f>
        <x:v>11842.285714285714</x:v>
      </x:c>
      <x:c r="M8" s="7" t="n">
        <x:f>I8-J8-K8-L8</x:f>
        <x:v>61560.871621428465</x:v>
      </x:c>
      <x:c r="N8" s="20" t="n">
        <x:f>E8/SUM($E$7:$E$13)</x:f>
        <x:v>0.06124342715743891</x:v>
      </x:c>
      <x:c r="O8" s="9" t="n">
        <x:f>'Инвестиции'!$C$20*'Допущения'!G32/SUM('Допущения'!$G$31:$G$37)</x:f>
        <x:v>8174162.930849999</x:v>
      </x:c>
      <x:c r="P8" s="21" t="n">
        <x:f>IF(M8&gt;0,O8/M8,"нет")</x:f>
        <x:v>132.7817932974927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6280</x:v>
      </x:c>
      <x:c r="D9" s="9" t="n">
        <x:f>'Допущения'!D33</x:f>
        <x:v>150</x:v>
      </x:c>
      <x:c r="E9" s="7" t="n">
        <x:f>C9*D9</x:f>
        <x:v>942000</x:v>
      </x:c>
      <x:c r="F9" s="9" t="n">
        <x:f>E9/(1+'Допущения'!$B$9)</x:f>
        <x:v>897142.8571428572</x:v>
      </x:c>
      <x:c r="G9" s="9" t="n">
        <x:f>F9*'Допущения'!E33+C9*'Допущения'!F33</x:f>
        <x:v>179428.57142857145</x:v>
      </x:c>
      <x:c r="H9" s="9" t="n">
        <x:f>E9*'Допущения'!$B$11</x:f>
        <x:v>18840</x:v>
      </x:c>
      <x:c r="I9" s="7" t="n">
        <x:f>F9-G9-H9</x:f>
        <x:v>698874.2857142857</x:v>
      </x:c>
      <x:c r="J9" s="9" t="n">
        <x:f>'Инвестиции'!$C$35*'Допущения'!G33/SUM('Допущения'!$G$31:$G$37)</x:f>
        <x:v>352915.32556</x:v>
      </x:c>
      <x:c r="K9" s="9" t="n">
        <x:f>F9*'Допущения'!$B$10</x:f>
        <x:v>53828.57142857143</x:v>
      </x:c>
      <x:c r="L9" s="9" t="n">
        <x:f>F9*'Допущения'!$B$12</x:f>
        <x:v>17942.857142857145</x:v>
      </x:c>
      <x:c r="M9" s="7" t="n">
        <x:f>I9-J9-K9-L9</x:f>
        <x:v>274187.5315828571</x:v>
      </x:c>
      <x:c r="N9" s="20" t="n">
        <x:f>E9/SUM($E$7:$E$13)</x:f>
        <x:v>0.09279307145066502</x:v>
      </x:c>
      <x:c r="O9" s="9" t="n">
        <x:f>'Инвестиции'!$C$20*'Допущения'!G33/SUM('Допущения'!$G$31:$G$37)</x:f>
        <x:v>6539330.344679999</x:v>
      </x:c>
      <x:c r="P9" s="21" t="n">
        <x:f>IF(M9&gt;0,O9/M9,"нет")</x:f>
        <x:v>23.84984578594476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62.800000000000004</x:v>
      </x:c>
      <x:c r="D10" s="9" t="n">
        <x:f>'Допущения'!D34</x:f>
        <x:v>18000</x:v>
      </x:c>
      <x:c r="E10" s="7" t="n">
        <x:f>C10*D10</x:f>
        <x:v>1130400</x:v>
      </x:c>
      <x:c r="F10" s="9" t="n">
        <x:f>E10/(1+'Допущения'!$B$9)</x:f>
        <x:v>1076571.4285714286</x:v>
      </x:c>
      <x:c r="G10" s="9" t="n">
        <x:f>F10*'Допущения'!E34+C10*'Допущения'!F34</x:f>
        <x:v>269142.85714285716</x:v>
      </x:c>
      <x:c r="H10" s="9" t="n">
        <x:f>E10*'Допущения'!$B$11</x:f>
        <x:v>22608</x:v>
      </x:c>
      <x:c r="I10" s="7" t="n">
        <x:f>F10-G10-H10</x:f>
        <x:v>784820.5714285715</x:v>
      </x:c>
      <x:c r="J10" s="9" t="n">
        <x:f>'Инвестиции'!$C$35*'Допущения'!G34/SUM('Допущения'!$G$31:$G$37)</x:f>
        <x:v>352915.32556</x:v>
      </x:c>
      <x:c r="K10" s="9" t="n">
        <x:f>F10*'Допущения'!$B$10</x:f>
        <x:v>64594.28571428572</x:v>
      </x:c>
      <x:c r="L10" s="9" t="n">
        <x:f>F10*'Допущения'!$B$12</x:f>
        <x:v>21531.428571428572</x:v>
      </x:c>
      <x:c r="M10" s="7" t="n">
        <x:f>I10-J10-K10-L10</x:f>
        <x:v>345779.53158285713</x:v>
      </x:c>
      <x:c r="N10" s="20" t="n">
        <x:f>E10/SUM($E$7:$E$13)</x:f>
        <x:v>0.11135168574079803</x:v>
      </x:c>
      <x:c r="O10" s="9" t="n">
        <x:f>'Инвестиции'!$C$20*'Допущения'!G34/SUM('Допущения'!$G$31:$G$37)</x:f>
        <x:v>6539330.344679999</x:v>
      </x:c>
      <x:c r="P10" s="21" t="n">
        <x:f>IF(M10&gt;0,O10/M10,"нет")</x:f>
        <x:v>18.911849162225547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3454</x:v>
      </x:c>
      <x:c r="D11" s="9" t="n">
        <x:f>'Допущения'!D35</x:f>
        <x:v>550</x:v>
      </x:c>
      <x:c r="E11" s="7" t="n">
        <x:f>C11*D11</x:f>
        <x:v>1899700</x:v>
      </x:c>
      <x:c r="F11" s="9" t="n">
        <x:f>E11/(1+'Допущения'!$B$9)</x:f>
        <x:v>1809238.0952380951</x:v>
      </x:c>
      <x:c r="G11" s="9" t="n">
        <x:f>F11*'Допущения'!E35+C11*'Допущения'!F35</x:f>
        <x:v>633233.3333333333</x:v>
      </x:c>
      <x:c r="H11" s="9" t="n">
        <x:f>E11*'Допущения'!$B$11</x:f>
        <x:v>37994</x:v>
      </x:c>
      <x:c r="I11" s="7" t="n">
        <x:f>F11-G11-H11</x:f>
        <x:v>1138010.761904762</x:v>
      </x:c>
      <x:c r="J11" s="9" t="n">
        <x:f>'Инвестиции'!$C$35*'Допущения'!G35/SUM('Допущения'!$G$31:$G$37)</x:f>
        <x:v>411734.5464866667</x:v>
      </x:c>
      <x:c r="K11" s="9" t="n">
        <x:f>F11*'Допущения'!$B$10</x:f>
        <x:v>108554.28571428571</x:v>
      </x:c>
      <x:c r="L11" s="9" t="n">
        <x:f>F11*'Допущения'!$B$12</x:f>
        <x:v>36184.7619047619</x:v>
      </x:c>
      <x:c r="M11" s="7" t="n">
        <x:f>I11-J11-K11-L11</x:f>
        <x:v>581537.1677990477</x:v>
      </x:c>
      <x:c r="N11" s="20" t="n">
        <x:f>E11/SUM($E$7:$E$13)</x:f>
        <x:v>0.18713269409217445</x:v>
      </x:c>
      <x:c r="O11" s="9" t="n">
        <x:f>'Инвестиции'!$C$20*'Допущения'!G35/SUM('Допущения'!$G$31:$G$37)</x:f>
        <x:v>7629218.73546</x:v>
      </x:c>
      <x:c r="P11" s="21" t="n">
        <x:f>IF(M11&gt;0,O11/M11,"нет")</x:f>
        <x:v>13.119056111812109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282.6</x:v>
      </x:c>
      <x:c r="D12" s="9" t="n">
        <x:f>'Допущения'!D36</x:f>
        <x:v>500</x:v>
      </x:c>
      <x:c r="E12" s="7" t="n">
        <x:f>C12*D12</x:f>
        <x:v>141300</x:v>
      </x:c>
      <x:c r="F12" s="9" t="n">
        <x:f>E12/(1+'Допущения'!$B$9)</x:f>
        <x:v>134571.42857142858</x:v>
      </x:c>
      <x:c r="G12" s="9" t="n">
        <x:f>F12*'Допущения'!E36+C12*'Допущения'!F36</x:f>
        <x:v>40371.42857142857</x:v>
      </x:c>
      <x:c r="H12" s="9" t="n">
        <x:f>E12*'Допущения'!$B$11</x:f>
        <x:v>2826</x:v>
      </x:c>
      <x:c r="I12" s="7" t="n">
        <x:f>F12-G12-H12</x:f>
        <x:v>91374</x:v>
      </x:c>
      <x:c r="J12" s="9" t="n">
        <x:f>'Инвестиции'!$C$35*'Допущения'!G36/SUM('Допущения'!$G$31:$G$37)</x:f>
        <x:v>235276.88370666667</x:v>
      </x:c>
      <x:c r="K12" s="9" t="n">
        <x:f>F12*'Допущения'!$B$10</x:f>
        <x:v>8074.285714285715</x:v>
      </x:c>
      <x:c r="L12" s="9" t="n">
        <x:f>F12*'Допущения'!$B$12</x:f>
        <x:v>2691.4285714285716</x:v>
      </x:c>
      <x:c r="M12" s="7" t="n">
        <x:f>I12-J12-K12-L12</x:f>
        <x:v>-154668.59799238096</x:v>
      </x:c>
      <x:c r="N12" s="20" t="n">
        <x:f>E12/SUM($E$7:$E$13)</x:f>
        <x:v>0.013918960717599753</x:v>
      </x:c>
      <x:c r="O12" s="9" t="n">
        <x:f>'Инвестиции'!$C$20*'Допущения'!G36/SUM('Допущения'!$G$31:$G$37)</x:f>
        <x:v>4359553.56312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706.5</x:v>
      </x:c>
      <x:c r="D13" s="9" t="n">
        <x:f>'Допущения'!D37</x:f>
        <x:v>200</x:v>
      </x:c>
      <x:c r="E13" s="7" t="n">
        <x:f>C13*D13</x:f>
        <x:v>141300</x:v>
      </x:c>
      <x:c r="F13" s="9" t="n">
        <x:f>E13/(1+'Допущения'!$B$9)</x:f>
        <x:v>134571.42857142858</x:v>
      </x:c>
      <x:c r="G13" s="9" t="n">
        <x:f>F13*'Допущения'!E37+C13*'Допущения'!F37</x:f>
        <x:v>35325</x:v>
      </x:c>
      <x:c r="H13" s="9" t="n">
        <x:f>E13*'Допущения'!$B$11</x:f>
        <x:v>2826</x:v>
      </x:c>
      <x:c r="I13" s="7" t="n">
        <x:f>F13-G13-H13</x:f>
        <x:v>96420.42857142858</x:v>
      </x:c>
      <x:c r="J13" s="9" t="n">
        <x:f>'Инвестиции'!$C$35*'Допущения'!G37/SUM('Допущения'!$G$31:$G$37)</x:f>
        <x:v>117638.44185333334</x:v>
      </x:c>
      <x:c r="K13" s="9" t="n">
        <x:f>F13*'Допущения'!$B$10</x:f>
        <x:v>8074.285714285715</x:v>
      </x:c>
      <x:c r="L13" s="9" t="n">
        <x:f>F13*'Допущения'!$B$12</x:f>
        <x:v>2691.4285714285716</x:v>
      </x:c>
      <x:c r="M13" s="7" t="n">
        <x:f>I13-J13-K13-L13</x:f>
        <x:v>-31983.727567619044</x:v>
      </x:c>
      <x:c r="N13" s="20" t="n">
        <x:f>E13/SUM($E$7:$E$13)</x:f>
        <x:v>0.013918960717599753</x:v>
      </x:c>
      <x:c r="O13" s="9" t="n">
        <x:f>'Инвестиции'!$C$20*'Допущения'!G37/SUM('Допущения'!$G$31:$G$37)</x:f>
        <x:v>2179776.78156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10151620</x:v>
      </x:c>
      <x:c r="F14" s="7" t="n">
        <x:f>SUM(F7:F13)</x:f>
        <x:v>9668209.523809524</x:v>
      </x:c>
      <x:c r="G14" s="7" t="n">
        <x:f>SUM(G7:G13)</x:f>
        <x:v>1287586.9047619049</x:v>
      </x:c>
      <x:c r="H14" s="7" t="n">
        <x:f>SUM(H7:H13)</x:f>
        <x:v>203032.4</x:v>
      </x:c>
      <x:c r="I14" s="7" t="n">
        <x:f>SUM(I7:I13)</x:f>
        <x:v>8177590.219047619</x:v>
      </x:c>
      <x:c r="J14" s="7" t="n">
        <x:f>SUM(J7:J13)</x:f>
        <x:v>2940961.0463333335</x:v>
      </x:c>
      <x:c r="K14" s="7" t="n">
        <x:f>SUM(K7:K13)</x:f>
        <x:v>580092.5714285714</x:v>
      </x:c>
      <x:c r="L14" s="7" t="n">
        <x:f>SUM(L7:L13)</x:f>
        <x:v>193364.19047619047</x:v>
      </x:c>
      <x:c r="M14" s="7" t="n">
        <x:f>SUM(M7:M13)</x:f>
        <x:v>4463172.410809524</x:v>
      </x:c>
      <x:c r="N14" s="20" t="n">
        <x:f>SUM(N7:N13)</x:f>
        <x:v>1</x:v>
      </x:c>
      <x:c r="O14" s="7" t="n">
        <x:f>SUM(O7:O13)</x:f>
        <x:v>54494419.53899999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2655482.0338983056</x:v>
      </x:c>
      <x:c r="D7" s="9" t="n">
        <x:f>'Допущения'!C32*'Допущения'!$B$8*'Допущения'!D32*$B7*(1+'Допущения'!$B$13)^0</x:f>
        <x:v>312967.52542372886</x:v>
      </x:c>
      <x:c r="E7" s="9" t="n">
        <x:f>'Допущения'!C33*'Допущения'!$B$8*'Допущения'!D33*$B7*(1+'Допущения'!$B$13)^0</x:f>
        <x:v>474193.2203389831</x:v>
      </x:c>
      <x:c r="F7" s="9" t="n">
        <x:f>'Допущения'!C34*'Допущения'!$B$8*'Допущения'!D34*$B7*(1+'Допущения'!$B$13)^0</x:f>
        <x:v>569031.8644067798</x:v>
      </x:c>
      <x:c r="G7" s="9" t="n">
        <x:f>'Допущения'!C35*'Допущения'!$B$8*'Допущения'!D35*$B7*(1+'Допущения'!$B$13)^0</x:f>
        <x:v>956289.6610169492</x:v>
      </x:c>
      <x:c r="H7" s="9" t="n">
        <x:f>'Допущения'!C36*'Допущения'!$B$8*'Допущения'!D36*$B7*(1+'Допущения'!$B$13)^0</x:f>
        <x:v>71128.98305084747</x:v>
      </x:c>
      <x:c r="I7" s="9" t="n">
        <x:f>'Допущения'!C37*'Допущения'!$B$8*'Допущения'!D37*$B7*(1+'Допущения'!$B$13)^0</x:f>
        <x:v>71128.98305084747</x:v>
      </x:c>
      <x:c r="J7" s="7" t="n">
        <x:f>SUM(C7:I7)</x:f>
        <x:v>5110222.271186441</x:v>
      </x:c>
      <x:c r="K7" s="9" t="n">
        <x:f>J7/(1+'Допущения'!$B$9)</x:f>
        <x:v>4866878.353510896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648158.1537530266</x:v>
      </x:c>
      <x:c r="M7" s="9" t="n">
        <x:f>J7*'Допущения'!$B$11</x:f>
        <x:v>102204.44542372883</x:v>
      </x:c>
      <x:c r="N7" s="9" t="n">
        <x:f>'Инвестиции'!$C$35*(1+'Допущения'!$B$14)^0</x:f>
        <x:v>2940961.0463333335</x:v>
      </x:c>
      <x:c r="O7" s="9" t="n">
        <x:f>K7*'Допущения'!$B$10</x:f>
        <x:v>292012.70121065376</x:v>
      </x:c>
      <x:c r="P7" s="9" t="n">
        <x:f>K7*'Допущения'!$B$12</x:f>
        <x:v>97337.56707021792</x:v>
      </x:c>
      <x:c r="Q7" s="7" t="n">
        <x:f>K7-L7-M7-N7</x:f>
        <x:v>1175554.708000807</x:v>
      </x:c>
      <x:c r="R7" s="7" t="n">
        <x:f>Q7-O7-P7</x:f>
        <x:v>786204.4397199354</x:v>
      </x:c>
      <x:c r="S7" s="9" t="n">
        <x:f>R7-'Инвестиции'!C20</x:f>
        <x:v>-53708215.09928006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25.14661016949153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3098062.3728813566</x:v>
      </x:c>
      <x:c r="D8" s="9" t="n">
        <x:f>'Допущения'!C32*'Допущения'!$B$8*'Допущения'!D32*$B8*(1+'Допущения'!$B$13)^0</x:f>
        <x:v>365128.779661017</x:v>
      </x:c>
      <x:c r="E8" s="9" t="n">
        <x:f>'Допущения'!C33*'Допущения'!$B$8*'Допущения'!D33*$B8*(1+'Допущения'!$B$13)^0</x:f>
        <x:v>553225.4237288137</x:v>
      </x:c>
      <x:c r="F8" s="9" t="n">
        <x:f>'Допущения'!C34*'Допущения'!$B$8*'Допущения'!D34*$B8*(1+'Допущения'!$B$13)^0</x:f>
        <x:v>663870.5084745764</x:v>
      </x:c>
      <x:c r="G8" s="9" t="n">
        <x:f>'Допущения'!C35*'Допущения'!$B$8*'Допущения'!D35*$B8*(1+'Допущения'!$B$13)^0</x:f>
        <x:v>1115671.271186441</x:v>
      </x:c>
      <x:c r="H8" s="9" t="n">
        <x:f>'Допущения'!C36*'Допущения'!$B$8*'Допущения'!D36*$B8*(1+'Допущения'!$B$13)^0</x:f>
        <x:v>82983.81355932205</x:v>
      </x:c>
      <x:c r="I8" s="9" t="n">
        <x:f>'Допущения'!C37*'Допущения'!$B$8*'Допущения'!D37*$B8*(1+'Допущения'!$B$13)^0</x:f>
        <x:v>82983.81355932205</x:v>
      </x:c>
      <x:c r="J8" s="7" t="n">
        <x:f>SUM(C8:I8)</x:f>
        <x:v>5961925.983050848</x:v>
      </x:c>
      <x:c r="K8" s="9" t="n">
        <x:f>J8/(1+'Допущения'!$B$9)</x:f>
        <x:v>5678024.745762712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756184.5127118644</x:v>
      </x:c>
      <x:c r="M8" s="9" t="n">
        <x:f>J8*'Допущения'!$B$11</x:f>
        <x:v>119238.51966101697</x:v>
      </x:c>
      <x:c r="N8" s="9" t="n">
        <x:f>'Инвестиции'!$C$35*(1+'Допущения'!$B$14)^0</x:f>
        <x:v>2940961.0463333335</x:v>
      </x:c>
      <x:c r="O8" s="9" t="n">
        <x:f>K8*'Допущения'!$B$10</x:f>
        <x:v>340681.4847457627</x:v>
      </x:c>
      <x:c r="P8" s="9" t="n">
        <x:f>K8*'Допущения'!$B$12</x:f>
        <x:v>113560.49491525425</x:v>
      </x:c>
      <x:c r="Q8" s="7" t="n">
        <x:f>K8-L8-M8-N8</x:f>
        <x:v>1861640.6670564972</x:v>
      </x:c>
      <x:c r="R8" s="7" t="n">
        <x:f>Q8-O8-P8</x:f>
        <x:v>1407398.6873954802</x:v>
      </x:c>
      <x:c r="S8" s="7" t="n">
        <x:f>S7+R8</x:f>
        <x:v>-52300816.411884576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29.33771186440679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3486996.6101694917</x:v>
      </x:c>
      <x:c r="D9" s="9" t="n">
        <x:f>'Допущения'!C32*'Допущения'!$B$8*'Допущения'!D32*$B9*(1+'Допущения'!$B$13)^0</x:f>
        <x:v>410967.4576271187</x:v>
      </x:c>
      <x:c r="E9" s="9" t="n">
        <x:f>'Допущения'!C33*'Допущения'!$B$8*'Допущения'!D33*$B9*(1+'Допущения'!$B$13)^0</x:f>
        <x:v>622677.966101695</x:v>
      </x:c>
      <x:c r="F9" s="9" t="n">
        <x:f>'Допущения'!C34*'Допущения'!$B$8*'Допущения'!D34*$B9*(1+'Допущения'!$B$13)^0</x:f>
        <x:v>747213.5593220339</x:v>
      </x:c>
      <x:c r="G9" s="9" t="n">
        <x:f>'Допущения'!C35*'Допущения'!$B$8*'Допущения'!D35*$B9*(1+'Допущения'!$B$13)^0</x:f>
        <x:v>1255733.8983050848</x:v>
      </x:c>
      <x:c r="H9" s="9" t="n">
        <x:f>'Допущения'!C36*'Допущения'!$B$8*'Допущения'!D36*$B9*(1+'Допущения'!$B$13)^0</x:f>
        <x:v>93401.69491525424</x:v>
      </x:c>
      <x:c r="I9" s="9" t="n">
        <x:f>'Допущения'!C37*'Допущения'!$B$8*'Допущения'!D37*$B9*(1+'Допущения'!$B$13)^0</x:f>
        <x:v>93401.69491525424</x:v>
      </x:c>
      <x:c r="J9" s="7" t="n">
        <x:f>SUM(C9:I9)</x:f>
        <x:v>6710392.881355933</x:v>
      </x:c>
      <x:c r="K9" s="9" t="n">
        <x:f>J9/(1+'Допущения'!$B$9)</x:f>
        <x:v>6390850.363196126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851116.7675544794</x:v>
      </x:c>
      <x:c r="M9" s="9" t="n">
        <x:f>J9*'Допущения'!$B$11</x:f>
        <x:v>134207.85762711865</x:v>
      </x:c>
      <x:c r="N9" s="9" t="n">
        <x:f>'Инвестиции'!$C$35*(1+'Допущения'!$B$14)^0</x:f>
        <x:v>2940961.0463333335</x:v>
      </x:c>
      <x:c r="O9" s="9" t="n">
        <x:f>K9*'Допущения'!$B$10</x:f>
        <x:v>383451.02179176756</x:v>
      </x:c>
      <x:c r="P9" s="9" t="n">
        <x:f>K9*'Допущения'!$B$12</x:f>
        <x:v>127817.00726392253</x:v>
      </x:c>
      <x:c r="Q9" s="7" t="n">
        <x:f>K9-L9-M9-N9</x:f>
        <x:v>2464564.691681194</x:v>
      </x:c>
      <x:c r="R9" s="7" t="n">
        <x:f>Q9-O9-P9</x:f>
        <x:v>1953296.662625504</x:v>
      </x:c>
      <x:c r="S9" s="7" t="n">
        <x:f>S8+R9</x:f>
        <x:v>-50347519.74925907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33.02080123266564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3621111.8644067794</x:v>
      </x:c>
      <x:c r="D10" s="9" t="n">
        <x:f>'Допущения'!C32*'Допущения'!$B$8*'Допущения'!D32*$B10*(1+'Допущения'!$B$13)^0</x:f>
        <x:v>426773.89830508473</x:v>
      </x:c>
      <x:c r="E10" s="9" t="n">
        <x:f>'Допущения'!C33*'Допущения'!$B$8*'Допущения'!D33*$B10*(1+'Допущения'!$B$13)^0</x:f>
        <x:v>646627.1186440678</x:v>
      </x:c>
      <x:c r="F10" s="9" t="n">
        <x:f>'Допущения'!C34*'Допущения'!$B$8*'Допущения'!D34*$B10*(1+'Допущения'!$B$13)^0</x:f>
        <x:v>775952.5423728813</x:v>
      </x:c>
      <x:c r="G10" s="9" t="n">
        <x:f>'Допущения'!C35*'Допущения'!$B$8*'Допущения'!D35*$B10*(1+'Допущения'!$B$13)^0</x:f>
        <x:v>1304031.3559322034</x:v>
      </x:c>
      <x:c r="H10" s="9" t="n">
        <x:f>'Допущения'!C36*'Допущения'!$B$8*'Допущения'!D36*$B10*(1+'Допущения'!$B$13)^0</x:f>
        <x:v>96994.06779661016</x:v>
      </x:c>
      <x:c r="I10" s="9" t="n">
        <x:f>'Допущения'!C37*'Допущения'!$B$8*'Допущения'!D37*$B10*(1+'Допущения'!$B$13)^0</x:f>
        <x:v>96994.06779661016</x:v>
      </x:c>
      <x:c r="J10" s="7" t="n">
        <x:f>SUM(C10:I10)</x:f>
        <x:v>6968484.915254237</x:v>
      </x:c>
      <x:c r="K10" s="9" t="n">
        <x:f>J10/(1+'Допущения'!$B$9)</x:f>
        <x:v>6636652.300242131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883852.0278450362</x:v>
      </x:c>
      <x:c r="M10" s="9" t="n">
        <x:f>J10*'Допущения'!$B$11</x:f>
        <x:v>139369.69830508475</x:v>
      </x:c>
      <x:c r="N10" s="9" t="n">
        <x:f>'Инвестиции'!$C$35*(1+'Допущения'!$B$14)^0</x:f>
        <x:v>2940961.0463333335</x:v>
      </x:c>
      <x:c r="O10" s="9" t="n">
        <x:f>K10*'Допущения'!$B$10</x:f>
        <x:v>398199.13801452785</x:v>
      </x:c>
      <x:c r="P10" s="9" t="n">
        <x:f>K10*'Допущения'!$B$12</x:f>
        <x:v>132733.04600484262</x:v>
      </x:c>
      <x:c r="Q10" s="7" t="n">
        <x:f>K10-L10-M10-N10</x:f>
        <x:v>2672469.5277586766</x:v>
      </x:c>
      <x:c r="R10" s="7" t="n">
        <x:f>Q10-O10-P10</x:f>
        <x:v>2141537.343739306</x:v>
      </x:c>
      <x:c r="S10" s="7" t="n">
        <x:f>S9+R10</x:f>
        <x:v>-48205982.40551976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34.29083204930662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3875930.847457627</x:v>
      </x:c>
      <x:c r="D11" s="9" t="n">
        <x:f>'Допущения'!C32*'Допущения'!$B$8*'Допущения'!D32*$B11*(1+'Допущения'!$B$13)^0</x:f>
        <x:v>456806.1355932203</x:v>
      </x:c>
      <x:c r="E11" s="9" t="n">
        <x:f>'Допущения'!C33*'Допущения'!$B$8*'Допущения'!D33*$B11*(1+'Допущения'!$B$13)^0</x:f>
        <x:v>692130.5084745762</x:v>
      </x:c>
      <x:c r="F11" s="9" t="n">
        <x:f>'Допущения'!C34*'Допущения'!$B$8*'Допущения'!D34*$B11*(1+'Допущения'!$B$13)^0</x:f>
        <x:v>830556.6101694914</x:v>
      </x:c>
      <x:c r="G11" s="9" t="n">
        <x:f>'Допущения'!C35*'Допущения'!$B$8*'Допущения'!D35*$B11*(1+'Допущения'!$B$13)^0</x:f>
        <x:v>1395796.5254237286</x:v>
      </x:c>
      <x:c r="H11" s="9" t="n">
        <x:f>'Допущения'!C36*'Допущения'!$B$8*'Допущения'!D36*$B11*(1+'Допущения'!$B$13)^0</x:f>
        <x:v>103819.57627118642</x:v>
      </x:c>
      <x:c r="I11" s="9" t="n">
        <x:f>'Допущения'!C37*'Допущения'!$B$8*'Допущения'!D37*$B11*(1+'Допущения'!$B$13)^0</x:f>
        <x:v>103819.57627118642</x:v>
      </x:c>
      <x:c r="J11" s="7" t="n">
        <x:f>SUM(C11:I11)</x:f>
        <x:v>7458859.7796610175</x:v>
      </x:c>
      <x:c r="K11" s="9" t="n">
        <x:f>J11/(1+'Допущения'!$B$9)</x:f>
        <x:v>7103675.98062954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946049.0223970943</x:v>
      </x:c>
      <x:c r="M11" s="9" t="n">
        <x:f>J11*'Допущения'!$B$11</x:f>
        <x:v>149177.19559322036</x:v>
      </x:c>
      <x:c r="N11" s="9" t="n">
        <x:f>'Инвестиции'!$C$35*(1+'Допущения'!$B$14)^0</x:f>
        <x:v>2940961.0463333335</x:v>
      </x:c>
      <x:c r="O11" s="9" t="n">
        <x:f>K11*'Допущения'!$B$10</x:f>
        <x:v>426220.5588377724</x:v>
      </x:c>
      <x:c r="P11" s="9" t="n">
        <x:f>K11*'Допущения'!$B$12</x:f>
        <x:v>142073.5196125908</x:v>
      </x:c>
      <x:c r="Q11" s="7" t="n">
        <x:f>K11-L11-M11-N11</x:f>
        <x:v>3067488.716305892</x:v>
      </x:c>
      <x:c r="R11" s="7" t="n">
        <x:f>Q11-O11-P11</x:f>
        <x:v>2499194.637855529</x:v>
      </x:c>
      <x:c r="S11" s="7" t="n">
        <x:f>S10+R11</x:f>
        <x:v>-45706787.76766423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36.703890600924495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3379704.4067796604</x:v>
      </x:c>
      <x:c r="D12" s="9" t="n">
        <x:f>'Допущения'!C32*'Допущения'!$B$8*'Допущения'!D32*$B12*(1+'Допущения'!$B$13)^0</x:f>
        <x:v>398322.3050847457</x:v>
      </x:c>
      <x:c r="E12" s="9" t="n">
        <x:f>'Допущения'!C33*'Допущения'!$B$8*'Допущения'!D33*$B12*(1+'Допущения'!$B$13)^0</x:f>
        <x:v>603518.6440677965</x:v>
      </x:c>
      <x:c r="F12" s="9" t="n">
        <x:f>'Допущения'!C34*'Допущения'!$B$8*'Допущения'!D34*$B12*(1+'Допущения'!$B$13)^0</x:f>
        <x:v>724222.3728813558</x:v>
      </x:c>
      <x:c r="G12" s="9" t="n">
        <x:f>'Допущения'!C35*'Допущения'!$B$8*'Допущения'!D35*$B12*(1+'Допущения'!$B$13)^0</x:f>
        <x:v>1217095.9322033897</x:v>
      </x:c>
      <x:c r="H12" s="9" t="n">
        <x:f>'Допущения'!C36*'Допущения'!$B$8*'Допущения'!D36*$B12*(1+'Допущения'!$B$13)^0</x:f>
        <x:v>90527.79661016948</x:v>
      </x:c>
      <x:c r="I12" s="9" t="n">
        <x:f>'Допущения'!C37*'Допущения'!$B$8*'Допущения'!D37*$B12*(1+'Допущения'!$B$13)^0</x:f>
        <x:v>90527.79661016948</x:v>
      </x:c>
      <x:c r="J12" s="7" t="n">
        <x:f>SUM(C12:I12)</x:f>
        <x:v>6503919.254237287</x:v>
      </x:c>
      <x:c r="K12" s="9" t="n">
        <x:f>J12/(1+'Допущения'!$B$9)</x:f>
        <x:v>6194208.813559321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824928.5593220338</x:v>
      </x:c>
      <x:c r="M12" s="9" t="n">
        <x:f>J12*'Допущения'!$B$11</x:f>
        <x:v>130078.38508474574</x:v>
      </x:c>
      <x:c r="N12" s="9" t="n">
        <x:f>'Инвестиции'!$C$35*(1+'Допущения'!$B$14)^0</x:f>
        <x:v>2940961.0463333335</x:v>
      </x:c>
      <x:c r="O12" s="9" t="n">
        <x:f>K12*'Допущения'!$B$10</x:f>
        <x:v>371652.5288135592</x:v>
      </x:c>
      <x:c r="P12" s="9" t="n">
        <x:f>K12*'Допущения'!$B$12</x:f>
        <x:v>123884.17627118641</x:v>
      </x:c>
      <x:c r="Q12" s="7" t="n">
        <x:f>K12-L12-M12-N12</x:f>
        <x:v>2298240.822819208</x:v>
      </x:c>
      <x:c r="R12" s="7" t="n">
        <x:f>Q12-O12-P12</x:f>
        <x:v>1802704.1177344623</x:v>
      </x:c>
      <x:c r="S12" s="7" t="n">
        <x:f>S11+R12</x:f>
        <x:v>-43904083.64992977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32.00477657935284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3822284.745762712</x:v>
      </x:c>
      <x:c r="D13" s="9" t="n">
        <x:f>'Допущения'!C32*'Допущения'!$B$8*'Допущения'!D32*$B13*(1+'Допущения'!$B$13)^0</x:f>
        <x:v>450483.5593220339</x:v>
      </x:c>
      <x:c r="E13" s="9" t="n">
        <x:f>'Допущения'!C33*'Допущения'!$B$8*'Допущения'!D33*$B13*(1+'Допущения'!$B$13)^0</x:f>
        <x:v>682550.8474576271</x:v>
      </x:c>
      <x:c r="F13" s="9" t="n">
        <x:f>'Допущения'!C34*'Допущения'!$B$8*'Допущения'!D34*$B13*(1+'Допущения'!$B$13)^0</x:f>
        <x:v>819061.0169491525</x:v>
      </x:c>
      <x:c r="G13" s="9" t="n">
        <x:f>'Допущения'!C35*'Допущения'!$B$8*'Допущения'!D35*$B13*(1+'Допущения'!$B$13)^0</x:f>
        <x:v>1376477.5423728812</x:v>
      </x:c>
      <x:c r="H13" s="9" t="n">
        <x:f>'Допущения'!C36*'Допущения'!$B$8*'Допущения'!D36*$B13*(1+'Допущения'!$B$13)^0</x:f>
        <x:v>102382.62711864406</x:v>
      </x:c>
      <x:c r="I13" s="9" t="n">
        <x:f>'Допущения'!C37*'Допущения'!$B$8*'Допущения'!D37*$B13*(1+'Допущения'!$B$13)^0</x:f>
        <x:v>102382.62711864406</x:v>
      </x:c>
      <x:c r="J13" s="7" t="n">
        <x:f>SUM(C13:I13)</x:f>
        <x:v>7355622.966101695</x:v>
      </x:c>
      <x:c r="K13" s="9" t="n">
        <x:f>J13/(1+'Допущения'!$B$9)</x:f>
        <x:v>7005355.205811137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932954.9182808715</x:v>
      </x:c>
      <x:c r="M13" s="9" t="n">
        <x:f>J13*'Допущения'!$B$11</x:f>
        <x:v>147112.4593220339</x:v>
      </x:c>
      <x:c r="N13" s="9" t="n">
        <x:f>'Инвестиции'!$C$35*(1+'Допущения'!$B$14)^0</x:f>
        <x:v>2940961.0463333335</x:v>
      </x:c>
      <x:c r="O13" s="9" t="n">
        <x:f>K13*'Допущения'!$B$10</x:f>
        <x:v>420321.31234866823</x:v>
      </x:c>
      <x:c r="P13" s="9" t="n">
        <x:f>K13*'Допущения'!$B$12</x:f>
        <x:v>140107.10411622276</x:v>
      </x:c>
      <x:c r="Q13" s="7" t="n">
        <x:f>K13-L13-M13-N13</x:f>
        <x:v>2984326.781874899</x:v>
      </x:c>
      <x:c r="R13" s="7" t="n">
        <x:f>Q13-O13-P13</x:f>
        <x:v>2423898.3654100075</x:v>
      </x:c>
      <x:c r="S13" s="7" t="n">
        <x:f>S12+R13</x:f>
        <x:v>-41480185.28451976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36.195878274268104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4291688.13559322</x:v>
      </x:c>
      <x:c r="D14" s="9" t="n">
        <x:f>'Допущения'!C32*'Допущения'!$B$8*'Допущения'!D32*$B14*(1+'Допущения'!$B$13)^0</x:f>
        <x:v>505806.1016949152</x:v>
      </x:c>
      <x:c r="E14" s="9" t="n">
        <x:f>'Допущения'!C33*'Допущения'!$B$8*'Допущения'!D33*$B14*(1+'Допущения'!$B$13)^0</x:f>
        <x:v>766372.8813559321</x:v>
      </x:c>
      <x:c r="F14" s="9" t="n">
        <x:f>'Допущения'!C34*'Допущения'!$B$8*'Допущения'!D34*$B14*(1+'Допущения'!$B$13)^0</x:f>
        <x:v>919647.4576271186</x:v>
      </x:c>
      <x:c r="G14" s="9" t="n">
        <x:f>'Допущения'!C35*'Допущения'!$B$8*'Допущения'!D35*$B14*(1+'Допущения'!$B$13)^0</x:f>
        <x:v>1545518.6440677964</x:v>
      </x:c>
      <x:c r="H14" s="9" t="n">
        <x:f>'Допущения'!C36*'Допущения'!$B$8*'Допущения'!D36*$B14*(1+'Допущения'!$B$13)^0</x:f>
        <x:v>114955.93220338982</x:v>
      </x:c>
      <x:c r="I14" s="9" t="n">
        <x:f>'Допущения'!C37*'Допущения'!$B$8*'Допущения'!D37*$B14*(1+'Допущения'!$B$13)^0</x:f>
        <x:v>114955.93220338982</x:v>
      </x:c>
      <x:c r="J14" s="7" t="n">
        <x:f>SUM(C14:I14)</x:f>
        <x:v>8258945.084745761</x:v>
      </x:c>
      <x:c r="K14" s="9" t="n">
        <x:f>J14/(1+'Допущения'!$B$9)</x:f>
        <x:v>7865661.985472153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1047528.3292978207</x:v>
      </x:c>
      <x:c r="M14" s="9" t="n">
        <x:f>J14*'Допущения'!$B$11</x:f>
        <x:v>165178.90169491523</x:v>
      </x:c>
      <x:c r="N14" s="9" t="n">
        <x:f>'Инвестиции'!$C$35*(1+'Допущения'!$B$14)^0</x:f>
        <x:v>2940961.0463333335</x:v>
      </x:c>
      <x:c r="O14" s="9" t="n">
        <x:f>K14*'Допущения'!$B$10</x:f>
        <x:v>471939.71912832913</x:v>
      </x:c>
      <x:c r="P14" s="9" t="n">
        <x:f>K14*'Допущения'!$B$12</x:f>
        <x:v>157313.23970944306</x:v>
      </x:c>
      <x:c r="Q14" s="7" t="n">
        <x:f>K14-L14-M14-N14</x:f>
        <x:v>3711993.708146083</x:v>
      </x:c>
      <x:c r="R14" s="7" t="n">
        <x:f>Q14-O14-P14</x:f>
        <x:v>3082740.749308311</x:v>
      </x:c>
      <x:c r="S14" s="7" t="n">
        <x:f>S13+R14</x:f>
        <x:v>-38397444.53521145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40.64098613251156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5632840.677966102</x:v>
      </x:c>
      <x:c r="D15" s="9" t="n">
        <x:f>'Допущения'!C32*'Допущения'!$B$8*'Допущения'!D32*$B15*(1+'Допущения'!$B$13)^0</x:f>
        <x:v>663870.5084745763</x:v>
      </x:c>
      <x:c r="E15" s="9" t="n">
        <x:f>'Допущения'!C33*'Допущения'!$B$8*'Допущения'!D33*$B15*(1+'Допущения'!$B$13)^0</x:f>
        <x:v>1005864.4067796611</x:v>
      </x:c>
      <x:c r="F15" s="9" t="n">
        <x:f>'Допущения'!C34*'Допущения'!$B$8*'Допущения'!D34*$B15*(1+'Допущения'!$B$13)^0</x:f>
        <x:v>1207037.2881355933</x:v>
      </x:c>
      <x:c r="G15" s="9" t="n">
        <x:f>'Допущения'!C35*'Допущения'!$B$8*'Допущения'!D35*$B15*(1+'Допущения'!$B$13)^0</x:f>
        <x:v>2028493.2203389832</x:v>
      </x:c>
      <x:c r="H15" s="9" t="n">
        <x:f>'Допущения'!C36*'Допущения'!$B$8*'Допущения'!D36*$B15*(1+'Допущения'!$B$13)^0</x:f>
        <x:v>150879.66101694916</x:v>
      </x:c>
      <x:c r="I15" s="9" t="n">
        <x:f>'Допущения'!C37*'Допущения'!$B$8*'Допущения'!D37*$B15*(1+'Допущения'!$B$13)^0</x:f>
        <x:v>150879.66101694916</x:v>
      </x:c>
      <x:c r="J15" s="7" t="n">
        <x:f>SUM(C15:I15)</x:f>
        <x:v>10839865.423728812</x:v>
      </x:c>
      <x:c r="K15" s="9" t="n">
        <x:f>J15/(1+'Допущения'!$B$9)</x:f>
        <x:v>10323681.355932202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1374880.93220339</x:v>
      </x:c>
      <x:c r="M15" s="9" t="n">
        <x:f>J15*'Допущения'!$B$11</x:f>
        <x:v>216797.30847457625</x:v>
      </x:c>
      <x:c r="N15" s="9" t="n">
        <x:f>'Инвестиции'!$C$35*(1+'Допущения'!$B$14)^0</x:f>
        <x:v>2940961.0463333335</x:v>
      </x:c>
      <x:c r="O15" s="9" t="n">
        <x:f>K15*'Допущения'!$B$10</x:f>
        <x:v>619420.8813559321</x:v>
      </x:c>
      <x:c r="P15" s="9" t="n">
        <x:f>K15*'Допущения'!$B$12</x:f>
        <x:v>206473.62711864404</x:v>
      </x:c>
      <x:c r="Q15" s="7" t="n">
        <x:f>K15-L15-M15-N15</x:f>
        <x:v>5791042.068920903</x:v>
      </x:c>
      <x:c r="R15" s="7" t="n">
        <x:f>Q15-O15-P15</x:f>
        <x:v>4965147.560446327</x:v>
      </x:c>
      <x:c r="S15" s="7" t="n">
        <x:f>S14+R15</x:f>
        <x:v>-33432296.974765126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53.34129429892142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6169301.694915253</x:v>
      </x:c>
      <x:c r="D16" s="9" t="n">
        <x:f>'Допущения'!C32*'Допущения'!$B$8*'Допущения'!D32*$B16*(1+'Допущения'!$B$13)^0</x:f>
        <x:v>727096.2711864405</x:v>
      </x:c>
      <x:c r="E16" s="9" t="n">
        <x:f>'Допущения'!C33*'Допущения'!$B$8*'Допущения'!D33*$B16*(1+'Допущения'!$B$13)^0</x:f>
        <x:v>1101661.0169491523</x:v>
      </x:c>
      <x:c r="F16" s="9" t="n">
        <x:f>'Допущения'!C34*'Допущения'!$B$8*'Допущения'!D34*$B16*(1+'Допущения'!$B$13)^0</x:f>
        <x:v>1321993.2203389828</x:v>
      </x:c>
      <x:c r="G16" s="9" t="n">
        <x:f>'Допущения'!C35*'Допущения'!$B$8*'Допущения'!D35*$B16*(1+'Допущения'!$B$13)^0</x:f>
        <x:v>2221683.0508474573</x:v>
      </x:c>
      <x:c r="H16" s="9" t="n">
        <x:f>'Допущения'!C36*'Допущения'!$B$8*'Допущения'!D36*$B16*(1+'Допущения'!$B$13)^0</x:f>
        <x:v>165249.15254237285</x:v>
      </x:c>
      <x:c r="I16" s="9" t="n">
        <x:f>'Допущения'!C37*'Допущения'!$B$8*'Допущения'!D37*$B16*(1+'Допущения'!$B$13)^0</x:f>
        <x:v>165249.15254237285</x:v>
      </x:c>
      <x:c r="J16" s="7" t="n">
        <x:f>SUM(C16:I16)</x:f>
        <x:v>11872233.559322033</x:v>
      </x:c>
      <x:c r="K16" s="9" t="n">
        <x:f>J16/(1+'Допущения'!$B$9)</x:f>
        <x:v>11306889.104116222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1505821.9733656172</x:v>
      </x:c>
      <x:c r="M16" s="9" t="n">
        <x:f>J16*'Допущения'!$B$11</x:f>
        <x:v>237444.67118644065</x:v>
      </x:c>
      <x:c r="N16" s="9" t="n">
        <x:f>'Инвестиции'!$C$35*(1+'Допущения'!$B$14)^0</x:f>
        <x:v>2940961.0463333335</x:v>
      </x:c>
      <x:c r="O16" s="9" t="n">
        <x:f>K16*'Допущения'!$B$10</x:f>
        <x:v>678413.3462469733</x:v>
      </x:c>
      <x:c r="P16" s="9" t="n">
        <x:f>K16*'Допущения'!$B$12</x:f>
        <x:v>226137.78208232444</x:v>
      </x:c>
      <x:c r="Q16" s="7" t="n">
        <x:f>K16-L16-M16-N16</x:f>
        <x:v>6622661.413230829</x:v>
      </x:c>
      <x:c r="R16" s="7" t="n">
        <x:f>Q16-O16-P16</x:f>
        <x:v>5718110.2849015305</x:v>
      </x:c>
      <x:c r="S16" s="7" t="n">
        <x:f>S15+R16</x:f>
        <x:v>-27714186.689863596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58.42141756548535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6437532.20338983</x:v>
      </x:c>
      <x:c r="D17" s="9" t="n">
        <x:f>'Допущения'!C32*'Допущения'!$B$8*'Допущения'!D32*$B17*(1+'Допущения'!$B$13)^0</x:f>
        <x:v>758709.1525423728</x:v>
      </x:c>
      <x:c r="E17" s="9" t="n">
        <x:f>'Допущения'!C33*'Допущения'!$B$8*'Допущения'!D33*$B17*(1+'Допущения'!$B$13)^0</x:f>
        <x:v>1149559.3220338982</x:v>
      </x:c>
      <x:c r="F17" s="9" t="n">
        <x:f>'Допущения'!C34*'Допущения'!$B$8*'Допущения'!D34*$B17*(1+'Допущения'!$B$13)^0</x:f>
        <x:v>1379471.1864406778</x:v>
      </x:c>
      <x:c r="G17" s="9" t="n">
        <x:f>'Допущения'!C35*'Допущения'!$B$8*'Допущения'!D35*$B17*(1+'Допущения'!$B$13)^0</x:f>
        <x:v>2318277.966101695</x:v>
      </x:c>
      <x:c r="H17" s="9" t="n">
        <x:f>'Допущения'!C36*'Допущения'!$B$8*'Допущения'!D36*$B17*(1+'Допущения'!$B$13)^0</x:f>
        <x:v>172433.89830508473</x:v>
      </x:c>
      <x:c r="I17" s="9" t="n">
        <x:f>'Допущения'!C37*'Допущения'!$B$8*'Допущения'!D37*$B17*(1+'Допущения'!$B$13)^0</x:f>
        <x:v>172433.89830508473</x:v>
      </x:c>
      <x:c r="J17" s="7" t="n">
        <x:f>SUM(C17:I17)</x:f>
        <x:v>12388417.627118643</x:v>
      </x:c>
      <x:c r="K17" s="9" t="n">
        <x:f>J17/(1+'Допущения'!$B$9)</x:f>
        <x:v>11798492.97820823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1571292.493946731</x:v>
      </x:c>
      <x:c r="M17" s="9" t="n">
        <x:f>J17*'Допущения'!$B$11</x:f>
        <x:v>247768.3525423729</x:v>
      </x:c>
      <x:c r="N17" s="9" t="n">
        <x:f>'Инвестиции'!$C$35*(1+'Допущения'!$B$14)^0</x:f>
        <x:v>2940961.0463333335</x:v>
      </x:c>
      <x:c r="O17" s="9" t="n">
        <x:f>K17*'Допущения'!$B$10</x:f>
        <x:v>707909.5786924938</x:v>
      </x:c>
      <x:c r="P17" s="9" t="n">
        <x:f>K17*'Допущения'!$B$12</x:f>
        <x:v>235969.85956416462</x:v>
      </x:c>
      <x:c r="Q17" s="7" t="n">
        <x:f>K17-L17-M17-N17</x:f>
        <x:v>7038471.085385794</x:v>
      </x:c>
      <x:c r="R17" s="7" t="n">
        <x:f>Q17-O17-P17</x:f>
        <x:v>6094591.647129135</x:v>
      </x:c>
      <x:c r="S17" s="7" t="n">
        <x:f>S16+R17</x:f>
        <x:v>-21619595.04273446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60.96147919876733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6705762.711864406</x:v>
      </x:c>
      <x:c r="D18" s="9" t="n">
        <x:f>'Допущения'!C32*'Допущения'!$B$8*'Допущения'!D32*$B18*(1+'Допущения'!$B$13)^0</x:f>
        <x:v>790322.033898305</x:v>
      </x:c>
      <x:c r="E18" s="9" t="n">
        <x:f>'Допущения'!C33*'Допущения'!$B$8*'Допущения'!D33*$B18*(1+'Допущения'!$B$13)^0</x:f>
        <x:v>1197457.627118644</x:v>
      </x:c>
      <x:c r="F18" s="9" t="n">
        <x:f>'Допущения'!C34*'Допущения'!$B$8*'Допущения'!D34*$B18*(1+'Допущения'!$B$13)^0</x:f>
        <x:v>1436949.152542373</x:v>
      </x:c>
      <x:c r="G18" s="9" t="n">
        <x:f>'Допущения'!C35*'Допущения'!$B$8*'Допущения'!D35*$B18*(1+'Допущения'!$B$13)^0</x:f>
        <x:v>2414872.881355932</x:v>
      </x:c>
      <x:c r="H18" s="9" t="n">
        <x:f>'Допущения'!C36*'Допущения'!$B$8*'Допущения'!D36*$B18*(1+'Допущения'!$B$13)^0</x:f>
        <x:v>179618.64406779662</x:v>
      </x:c>
      <x:c r="I18" s="9" t="n">
        <x:f>'Допущения'!C37*'Допущения'!$B$8*'Допущения'!D37*$B18*(1+'Допущения'!$B$13)^0</x:f>
        <x:v>179618.64406779662</x:v>
      </x:c>
      <x:c r="J18" s="7" t="n">
        <x:f>SUM(C18:I18)</x:f>
        <x:v>12904601.694915252</x:v>
      </x:c>
      <x:c r="K18" s="9" t="n">
        <x:f>J18/(1+'Допущения'!$B$9)</x:f>
        <x:v>12290096.85230024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1636763.014527845</x:v>
      </x:c>
      <x:c r="M18" s="9" t="n">
        <x:f>J18*'Допущения'!$B$11</x:f>
        <x:v>258092.03389830503</x:v>
      </x:c>
      <x:c r="N18" s="9" t="n">
        <x:f>'Инвестиции'!$C$35*(1+'Допущения'!$B$14)^0</x:f>
        <x:v>2940961.0463333335</x:v>
      </x:c>
      <x:c r="O18" s="9" t="n">
        <x:f>K18*'Допущения'!$B$10</x:f>
        <x:v>737405.8111380143</x:v>
      </x:c>
      <x:c r="P18" s="9" t="n">
        <x:f>K18*'Допущения'!$B$12</x:f>
        <x:v>245801.9370460048</x:v>
      </x:c>
      <x:c r="Q18" s="7" t="n">
        <x:f>K18-L18-M18-N18</x:f>
        <x:v>7454280.757540757</x:v>
      </x:c>
      <x:c r="R18" s="7" t="n">
        <x:f>Q18-O18-P18</x:f>
        <x:v>6471073.009356738</x:v>
      </x:c>
      <x:c r="S18" s="7" t="n">
        <x:f>S17+R18</x:f>
        <x:v>-15148522.033377722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63.501540832049315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6078103.322033899</x:v>
      </x:c>
      <x:c r="D19" s="9" t="n">
        <x:f>'Допущения'!C32*'Допущения'!$B$8*'Допущения'!D32*$B19*(1+'Допущения'!$B$13)^1</x:f>
        <x:v>716347.8915254237</x:v>
      </x:c>
      <x:c r="E19" s="9" t="n">
        <x:f>'Допущения'!C33*'Допущения'!$B$8*'Допущения'!D33*$B19*(1+'Допущения'!$B$13)^1</x:f>
        <x:v>1085375.5932203392</x:v>
      </x:c>
      <x:c r="F19" s="9" t="n">
        <x:f>'Допущения'!C34*'Допущения'!$B$8*'Допущения'!D34*$B19*(1+'Допущения'!$B$13)^1</x:f>
        <x:v>1302450.7118644072</x:v>
      </x:c>
      <x:c r="G19" s="9" t="n">
        <x:f>'Допущения'!C35*'Допущения'!$B$8*'Допущения'!D35*$B19*(1+'Допущения'!$B$13)^1</x:f>
        <x:v>2188840.7796610175</x:v>
      </x:c>
      <x:c r="H19" s="9" t="n">
        <x:f>'Допущения'!C36*'Допущения'!$B$8*'Допущения'!D36*$B19*(1+'Допущения'!$B$13)^1</x:f>
        <x:v>162806.3389830509</x:v>
      </x:c>
      <x:c r="I19" s="9" t="n">
        <x:f>'Допущения'!C37*'Допущения'!$B$8*'Допущения'!D37*$B19*(1+'Допущения'!$B$13)^1</x:f>
        <x:v>162806.3389830509</x:v>
      </x:c>
      <x:c r="J19" s="7" t="n">
        <x:f>SUM(C19:I19)</x:f>
        <x:v>11696730.97627119</x:v>
      </x:c>
      <x:c r="K19" s="9" t="n">
        <x:f>J19/(1+'Допущения'!$B$9)</x:f>
        <x:v>11139743.786924941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1484352.3184019371</x:v>
      </x:c>
      <x:c r="M19" s="9" t="n">
        <x:f>J19*'Допущения'!$B$11</x:f>
        <x:v>233934.6195254238</x:v>
      </x:c>
      <x:c r="N19" s="9" t="n">
        <x:f>'Инвестиции'!$C$35*(1+'Допущения'!$B$14)^1</x:f>
        <x:v>3088009.09865</x:v>
      </x:c>
      <x:c r="O19" s="9" t="n">
        <x:f>K19*'Допущения'!$B$10</x:f>
        <x:v>668384.6272154965</x:v>
      </x:c>
      <x:c r="P19" s="9" t="n">
        <x:f>K19*'Допущения'!$B$12</x:f>
        <x:v>222794.87573849884</x:v>
      </x:c>
      <x:c r="Q19" s="7" t="n">
        <x:f>K19-L19-M19-N19</x:f>
        <x:v>6333447.750347582</x:v>
      </x:c>
      <x:c r="R19" s="7" t="n">
        <x:f>Q19-O19-P19</x:f>
        <x:v>5442268.247393587</x:v>
      </x:c>
      <x:c r="S19" s="7" t="n">
        <x:f>S18+R19</x:f>
        <x:v>-9706253.785984136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55.8813559322034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5801825.8983050855</x:v>
      </x:c>
      <x:c r="D20" s="9" t="n">
        <x:f>'Допущения'!C32*'Допущения'!$B$8*'Допущения'!D32*$B20*(1+'Допущения'!$B$13)^1</x:f>
        <x:v>683786.6237288136</x:v>
      </x:c>
      <x:c r="E20" s="9" t="n">
        <x:f>'Допущения'!C33*'Допущения'!$B$8*'Допущения'!D33*$B20*(1+'Допущения'!$B$13)^1</x:f>
        <x:v>1036040.3389830509</x:v>
      </x:c>
      <x:c r="F20" s="9" t="n">
        <x:f>'Допущения'!C34*'Допущения'!$B$8*'Допущения'!D34*$B20*(1+'Допущения'!$B$13)^1</x:f>
        <x:v>1243248.406779661</x:v>
      </x:c>
      <x:c r="G20" s="9" t="n">
        <x:f>'Допущения'!C35*'Допущения'!$B$8*'Допущения'!D35*$B20*(1+'Допущения'!$B$13)^1</x:f>
        <x:v>2089348.0169491528</x:v>
      </x:c>
      <x:c r="H20" s="9" t="n">
        <x:f>'Допущения'!C36*'Допущения'!$B$8*'Допущения'!D36*$B20*(1+'Допущения'!$B$13)^1</x:f>
        <x:v>155406.05084745763</x:v>
      </x:c>
      <x:c r="I20" s="9" t="n">
        <x:f>'Допущения'!C37*'Допущения'!$B$8*'Допущения'!D37*$B20*(1+'Допущения'!$B$13)^1</x:f>
        <x:v>155406.05084745763</x:v>
      </x:c>
      <x:c r="J20" s="7" t="n">
        <x:f>SUM(C20:I20)</x:f>
        <x:v>11165061.38644068</x:v>
      </x:c>
      <x:c r="K20" s="9" t="n">
        <x:f>J20/(1+'Допущения'!$B$9)</x:f>
        <x:v>10633391.796610171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1416881.7584745765</x:v>
      </x:c>
      <x:c r="M20" s="9" t="n">
        <x:f>J20*'Допущения'!$B$11</x:f>
        <x:v>223301.2277288136</x:v>
      </x:c>
      <x:c r="N20" s="9" t="n">
        <x:f>'Инвестиции'!$C$35*(1+'Допущения'!$B$14)^1</x:f>
        <x:v>3088009.09865</x:v>
      </x:c>
      <x:c r="O20" s="9" t="n">
        <x:f>K20*'Допущения'!$B$10</x:f>
        <x:v>638003.5077966102</x:v>
      </x:c>
      <x:c r="P20" s="9" t="n">
        <x:f>K20*'Допущения'!$B$12</x:f>
        <x:v>212667.83593220342</x:v>
      </x:c>
      <x:c r="Q20" s="7" t="n">
        <x:f>K20-L20-M20-N20</x:f>
        <x:v>5905199.71175678</x:v>
      </x:c>
      <x:c r="R20" s="7" t="n">
        <x:f>Q20-O20-P20</x:f>
        <x:v>5054528.368027966</x:v>
      </x:c>
      <x:c r="S20" s="7" t="n">
        <x:f>S19+R20</x:f>
        <x:v>-4651725.417956171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53.34129429892142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5525548.474576271</x:v>
      </x:c>
      <x:c r="D21" s="9" t="n">
        <x:f>'Допущения'!C32*'Допущения'!$B$8*'Допущения'!D32*$B21*(1+'Допущения'!$B$13)^1</x:f>
        <x:v>651225.3559322034</x:v>
      </x:c>
      <x:c r="E21" s="9" t="n">
        <x:f>'Допущения'!C33*'Допущения'!$B$8*'Допущения'!D33*$B21*(1+'Допущения'!$B$13)^1</x:f>
        <x:v>986705.0847457626</x:v>
      </x:c>
      <x:c r="F21" s="9" t="n">
        <x:f>'Допущения'!C34*'Допущения'!$B$8*'Допущения'!D34*$B21*(1+'Допущения'!$B$13)^1</x:f>
        <x:v>1184046.1016949152</x:v>
      </x:c>
      <x:c r="G21" s="9" t="n">
        <x:f>'Допущения'!C35*'Допущения'!$B$8*'Допущения'!D35*$B21*(1+'Допущения'!$B$13)^1</x:f>
        <x:v>1989855.2542372881</x:v>
      </x:c>
      <x:c r="H21" s="9" t="n">
        <x:f>'Допущения'!C36*'Допущения'!$B$8*'Допущения'!D36*$B21*(1+'Допущения'!$B$13)^1</x:f>
        <x:v>148005.7627118644</x:v>
      </x:c>
      <x:c r="I21" s="9" t="n">
        <x:f>'Допущения'!C37*'Допущения'!$B$8*'Допущения'!D37*$B21*(1+'Допущения'!$B$13)^1</x:f>
        <x:v>148005.7627118644</x:v>
      </x:c>
      <x:c r="J21" s="7" t="n">
        <x:f>SUM(C21:I21)</x:f>
        <x:v>10633391.79661017</x:v>
      </x:c>
      <x:c r="K21" s="9" t="n">
        <x:f>J21/(1+'Допущения'!$B$9)</x:f>
        <x:v>10127039.806295399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1349411.1985472154</x:v>
      </x:c>
      <x:c r="M21" s="9" t="n">
        <x:f>J21*'Допущения'!$B$11</x:f>
        <x:v>212667.8359322034</x:v>
      </x:c>
      <x:c r="N21" s="9" t="n">
        <x:f>'Инвестиции'!$C$35*(1+'Допущения'!$B$14)^1</x:f>
        <x:v>3088009.09865</x:v>
      </x:c>
      <x:c r="O21" s="9" t="n">
        <x:f>K21*'Допущения'!$B$10</x:f>
        <x:v>607622.3883777239</x:v>
      </x:c>
      <x:c r="P21" s="9" t="n">
        <x:f>K21*'Допущения'!$B$12</x:f>
        <x:v>202540.79612590797</x:v>
      </x:c>
      <x:c r="Q21" s="7" t="n">
        <x:f>K21-L21-M21-N21</x:f>
        <x:v>5476951.67316598</x:v>
      </x:c>
      <x:c r="R21" s="7" t="n">
        <x:f>Q21-O21-P21</x:f>
        <x:v>4666788.488662347</x:v>
      </x:c>
      <x:c r="S21" s="7" t="n">
        <x:f>S20+R21</x:f>
        <x:v>15063.070706176572</x:v>
      </x:c>
      <x:c r="T21" s="7" t="n">
        <x:f>IF(S21&gt;=0,A21,999)</x:f>
        <x:v>15</x:v>
      </x:c>
      <x:c r="U21" s="22" t="n">
        <x:f>'Допущения'!C31*'Допущения'!$B$8*B21*'Допущения'!$B$17/'Допущения'!$B$18/'Допущения'!$B$16</x:f>
        <x:v>50.801232665639446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4972993.627118644</x:v>
      </x:c>
      <x:c r="D22" s="9" t="n">
        <x:f>'Допущения'!C32*'Допущения'!$B$8*'Допущения'!D32*$B22*(1+'Допущения'!$B$13)^1</x:f>
        <x:v>586102.8203389831</x:v>
      </x:c>
      <x:c r="E22" s="9" t="n">
        <x:f>'Допущения'!C33*'Допущения'!$B$8*'Допущения'!D33*$B22*(1+'Допущения'!$B$13)^1</x:f>
        <x:v>888034.5762711865</x:v>
      </x:c>
      <x:c r="F22" s="9" t="n">
        <x:f>'Допущения'!C34*'Допущения'!$B$8*'Допущения'!D34*$B22*(1+'Допущения'!$B$13)^1</x:f>
        <x:v>1065641.4915254237</x:v>
      </x:c>
      <x:c r="G22" s="9" t="n">
        <x:f>'Допущения'!C35*'Допущения'!$B$8*'Допущения'!D35*$B22*(1+'Допущения'!$B$13)^1</x:f>
        <x:v>1790869.7288135593</x:v>
      </x:c>
      <x:c r="H22" s="9" t="n">
        <x:f>'Допущения'!C36*'Допущения'!$B$8*'Допущения'!D36*$B22*(1+'Допущения'!$B$13)^1</x:f>
        <x:v>133205.18644067796</x:v>
      </x:c>
      <x:c r="I22" s="9" t="n">
        <x:f>'Допущения'!C37*'Допущения'!$B$8*'Допущения'!D37*$B22*(1+'Допущения'!$B$13)^1</x:f>
        <x:v>133205.18644067796</x:v>
      </x:c>
      <x:c r="J22" s="7" t="n">
        <x:f>SUM(C22:I22)</x:f>
        <x:v>9570052.616949154</x:v>
      </x:c>
      <x:c r="K22" s="9" t="n">
        <x:f>J22/(1+'Допущения'!$B$9)</x:f>
        <x:v>9114335.825665861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1214470.0786924937</x:v>
      </x:c>
      <x:c r="M22" s="9" t="n">
        <x:f>J22*'Допущения'!$B$11</x:f>
        <x:v>191401.05233898308</x:v>
      </x:c>
      <x:c r="N22" s="9" t="n">
        <x:f>'Инвестиции'!$C$35*(1+'Допущения'!$B$14)^1</x:f>
        <x:v>3088009.09865</x:v>
      </x:c>
      <x:c r="O22" s="9" t="n">
        <x:f>K22*'Допущения'!$B$10</x:f>
        <x:v>546860.1495399517</x:v>
      </x:c>
      <x:c r="P22" s="9" t="n">
        <x:f>K22*'Допущения'!$B$12</x:f>
        <x:v>182286.71651331722</x:v>
      </x:c>
      <x:c r="Q22" s="7" t="n">
        <x:f>K22-L22-M22-N22</x:f>
        <x:v>4620455.595984384</x:v>
      </x:c>
      <x:c r="R22" s="7" t="n">
        <x:f>Q22-O22-P22</x:f>
        <x:v>3891308.7299311156</x:v>
      </x:c>
      <x:c r="S22" s="7" t="n">
        <x:f>S21+R22</x:f>
        <x:v>3906371.800637292</x:v>
      </x:c>
      <x:c r="T22" s="7" t="n">
        <x:f>IF(S22&gt;=0,A22,999)</x:f>
        <x:v>16</x:v>
      </x:c>
      <x:c r="U22" s="22" t="n">
        <x:f>'Допущения'!C31*'Допущения'!$B$8*B22*'Допущения'!$B$17/'Допущения'!$B$18/'Допущения'!$B$16</x:f>
        <x:v>45.721109399075495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4696716.20338983</x:v>
      </x:c>
      <x:c r="D23" s="9" t="n">
        <x:f>'Допущения'!C32*'Допущения'!$B$8*'Допущения'!D32*$B23*(1+'Допущения'!$B$13)^1</x:f>
        <x:v>553541.5525423728</x:v>
      </x:c>
      <x:c r="E23" s="9" t="n">
        <x:f>'Допущения'!C33*'Допущения'!$B$8*'Допущения'!D33*$B23*(1+'Допущения'!$B$13)^1</x:f>
        <x:v>838699.3220338982</x:v>
      </x:c>
      <x:c r="F23" s="9" t="n">
        <x:f>'Допущения'!C34*'Допущения'!$B$8*'Допущения'!D34*$B23*(1+'Допущения'!$B$13)^1</x:f>
        <x:v>1006439.1864406778</x:v>
      </x:c>
      <x:c r="G23" s="9" t="n">
        <x:f>'Допущения'!C35*'Допущения'!$B$8*'Допущения'!D35*$B23*(1+'Допущения'!$B$13)^1</x:f>
        <x:v>1691376.9661016949</x:v>
      </x:c>
      <x:c r="H23" s="9" t="n">
        <x:f>'Допущения'!C36*'Допущения'!$B$8*'Допущения'!D36*$B23*(1+'Допущения'!$B$13)^1</x:f>
        <x:v>125804.89830508473</x:v>
      </x:c>
      <x:c r="I23" s="9" t="n">
        <x:f>'Допущения'!C37*'Допущения'!$B$8*'Допущения'!D37*$B23*(1+'Допущения'!$B$13)^1</x:f>
        <x:v>125804.89830508473</x:v>
      </x:c>
      <x:c r="J23" s="7" t="n">
        <x:f>SUM(C23:I23)</x:f>
        <x:v>9038383.027118642</x:v>
      </x:c>
      <x:c r="K23" s="9" t="n">
        <x:f>J23/(1+'Допущения'!$B$9)</x:f>
        <x:v>8607983.835351087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1146999.518765133</x:v>
      </x:c>
      <x:c r="M23" s="9" t="n">
        <x:f>J23*'Допущения'!$B$11</x:f>
        <x:v>180767.66054237285</x:v>
      </x:c>
      <x:c r="N23" s="9" t="n">
        <x:f>'Инвестиции'!$C$35*(1+'Допущения'!$B$14)^1</x:f>
        <x:v>3088009.09865</x:v>
      </x:c>
      <x:c r="O23" s="9" t="n">
        <x:f>K23*'Допущения'!$B$10</x:f>
        <x:v>516479.0301210652</x:v>
      </x:c>
      <x:c r="P23" s="9" t="n">
        <x:f>K23*'Допущения'!$B$12</x:f>
        <x:v>172159.67670702175</x:v>
      </x:c>
      <x:c r="Q23" s="7" t="n">
        <x:f>K23-L23-M23-N23</x:f>
        <x:v>4192207.5573935816</x:v>
      </x:c>
      <x:c r="R23" s="7" t="n">
        <x:f>Q23-O23-P23</x:f>
        <x:v>3503568.8505654945</x:v>
      </x:c>
      <x:c r="S23" s="7" t="n">
        <x:f>S22+R23</x:f>
        <x:v>7409940.651202787</x:v>
      </x:c>
      <x:c r="T23" s="7" t="n">
        <x:f>IF(S23&gt;=0,A23,999)</x:f>
        <x:v>17</x:v>
      </x:c>
      <x:c r="U23" s="22" t="n">
        <x:f>'Допущения'!C31*'Допущения'!$B$8*B23*'Допущения'!$B$17/'Допущения'!$B$18/'Допущения'!$B$16</x:f>
        <x:v>43.18104776579352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3867883.9322033892</x:v>
      </x:c>
      <x:c r="D24" s="9" t="n">
        <x:f>'Допущения'!C32*'Допущения'!$B$8*'Допущения'!D32*$B24*(1+'Допущения'!$B$13)^1</x:f>
        <x:v>455857.7491525423</x:v>
      </x:c>
      <x:c r="E24" s="9" t="n">
        <x:f>'Допущения'!C33*'Допущения'!$B$8*'Допущения'!D33*$B24*(1+'Допущения'!$B$13)^1</x:f>
        <x:v>690693.5593220339</x:v>
      </x:c>
      <x:c r="F24" s="9" t="n">
        <x:f>'Допущения'!C34*'Допущения'!$B$8*'Допущения'!D34*$B24*(1+'Допущения'!$B$13)^1</x:f>
        <x:v>828832.2711864405</x:v>
      </x:c>
      <x:c r="G24" s="9" t="n">
        <x:f>'Допущения'!C35*'Допущения'!$B$8*'Допущения'!D35*$B24*(1+'Допущения'!$B$13)^1</x:f>
        <x:v>1392898.6779661016</x:v>
      </x:c>
      <x:c r="H24" s="9" t="n">
        <x:f>'Допущения'!C36*'Допущения'!$B$8*'Допущения'!D36*$B24*(1+'Допущения'!$B$13)^1</x:f>
        <x:v>103604.03389830506</x:v>
      </x:c>
      <x:c r="I24" s="9" t="n">
        <x:f>'Допущения'!C37*'Допущения'!$B$8*'Допущения'!D37*$B24*(1+'Допущения'!$B$13)^1</x:f>
        <x:v>103604.03389830506</x:v>
      </x:c>
      <x:c r="J24" s="7" t="n">
        <x:f>SUM(C24:I24)</x:f>
        <x:v>7443374.257627118</x:v>
      </x:c>
      <x:c r="K24" s="9" t="n">
        <x:f>J24/(1+'Допущения'!$B$9)</x:f>
        <x:v>7088927.864406779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944587.8389830505</x:v>
      </x:c>
      <x:c r="M24" s="9" t="n">
        <x:f>J24*'Допущения'!$B$11</x:f>
        <x:v>148867.48515254236</x:v>
      </x:c>
      <x:c r="N24" s="9" t="n">
        <x:f>'Инвестиции'!$C$35*(1+'Допущения'!$B$14)^1</x:f>
        <x:v>3088009.09865</x:v>
      </x:c>
      <x:c r="O24" s="9" t="n">
        <x:f>K24*'Допущения'!$B$10</x:f>
        <x:v>425335.67186440673</x:v>
      </x:c>
      <x:c r="P24" s="9" t="n">
        <x:f>K24*'Допущения'!$B$12</x:f>
        <x:v>141778.5572881356</x:v>
      </x:c>
      <x:c r="Q24" s="7" t="n">
        <x:f>K24-L24-M24-N24</x:f>
        <x:v>2907463.441621186</x:v>
      </x:c>
      <x:c r="R24" s="7" t="n">
        <x:f>Q24-O24-P24</x:f>
        <x:v>2340349.212468644</x:v>
      </x:c>
      <x:c r="S24" s="7" t="n">
        <x:f>S23+R24</x:f>
        <x:v>9750289.863671431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35.560862865947605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4144161.355932203</x:v>
      </x:c>
      <x:c r="D25" s="9" t="n">
        <x:f>'Допущения'!C32*'Допущения'!$B$8*'Допущения'!D32*$B25*(1+'Допущения'!$B$13)^1</x:f>
        <x:v>488419.0169491526</x:v>
      </x:c>
      <x:c r="E25" s="9" t="n">
        <x:f>'Допущения'!C33*'Допущения'!$B$8*'Допущения'!D33*$B25*(1+'Допущения'!$B$13)^1</x:f>
        <x:v>740028.813559322</x:v>
      </x:c>
      <x:c r="F25" s="9" t="n">
        <x:f>'Допущения'!C34*'Допущения'!$B$8*'Допущения'!D34*$B25*(1+'Допущения'!$B$13)^1</x:f>
        <x:v>888034.5762711865</x:v>
      </x:c>
      <x:c r="G25" s="9" t="n">
        <x:f>'Допущения'!C35*'Допущения'!$B$8*'Допущения'!D35*$B25*(1+'Допущения'!$B$13)^1</x:f>
        <x:v>1492391.440677966</x:v>
      </x:c>
      <x:c r="H25" s="9" t="n">
        <x:f>'Допущения'!C36*'Допущения'!$B$8*'Допущения'!D36*$B25*(1+'Допущения'!$B$13)^1</x:f>
        <x:v>111004.32203389831</x:v>
      </x:c>
      <x:c r="I25" s="9" t="n">
        <x:f>'Допущения'!C37*'Допущения'!$B$8*'Допущения'!D37*$B25*(1+'Допущения'!$B$13)^1</x:f>
        <x:v>111004.32203389831</x:v>
      </x:c>
      <x:c r="J25" s="7" t="n">
        <x:f>SUM(C25:I25)</x:f>
        <x:v>7975043.847457626</x:v>
      </x:c>
      <x:c r="K25" s="9" t="n">
        <x:f>J25/(1+'Допущения'!$B$9)</x:f>
        <x:v>7595279.854721548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1012058.3989104115</x:v>
      </x:c>
      <x:c r="M25" s="9" t="n">
        <x:f>J25*'Допущения'!$B$11</x:f>
        <x:v>159500.87694915253</x:v>
      </x:c>
      <x:c r="N25" s="9" t="n">
        <x:f>'Инвестиции'!$C$35*(1+'Допущения'!$B$14)^1</x:f>
        <x:v>3088009.09865</x:v>
      </x:c>
      <x:c r="O25" s="9" t="n">
        <x:f>K25*'Допущения'!$B$10</x:f>
        <x:v>455716.79128329287</x:v>
      </x:c>
      <x:c r="P25" s="9" t="n">
        <x:f>K25*'Допущения'!$B$12</x:f>
        <x:v>151905.59709443097</x:v>
      </x:c>
      <x:c r="Q25" s="7" t="n">
        <x:f>K25-L25-M25-N25</x:f>
        <x:v>3335711.4802119834</x:v>
      </x:c>
      <x:c r="R25" s="7" t="n">
        <x:f>Q25-O25-P25</x:f>
        <x:v>2728089.0918342597</x:v>
      </x:c>
      <x:c r="S25" s="7" t="n">
        <x:f>S24+R25</x:f>
        <x:v>12478378.955505691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38.10092449922958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4420438.779661017</x:v>
      </x:c>
      <x:c r="D26" s="9" t="n">
        <x:f>'Допущения'!C32*'Допущения'!$B$8*'Допущения'!D32*$B26*(1+'Допущения'!$B$13)^1</x:f>
        <x:v>520980.2847457627</x:v>
      </x:c>
      <x:c r="E26" s="9" t="n">
        <x:f>'Допущения'!C33*'Допущения'!$B$8*'Допущения'!D33*$B26*(1+'Допущения'!$B$13)^1</x:f>
        <x:v>789364.0677966101</x:v>
      </x:c>
      <x:c r="F26" s="9" t="n">
        <x:f>'Допущения'!C34*'Допущения'!$B$8*'Допущения'!D34*$B26*(1+'Допущения'!$B$13)^1</x:f>
        <x:v>947236.8813559321</x:v>
      </x:c>
      <x:c r="G26" s="9" t="n">
        <x:f>'Допущения'!C35*'Допущения'!$B$8*'Допущения'!D35*$B26*(1+'Допущения'!$B$13)^1</x:f>
        <x:v>1591884.2033898304</x:v>
      </x:c>
      <x:c r="H26" s="9" t="n">
        <x:f>'Допущения'!C36*'Допущения'!$B$8*'Допущения'!D36*$B26*(1+'Допущения'!$B$13)^1</x:f>
        <x:v>118404.61016949151</x:v>
      </x:c>
      <x:c r="I26" s="9" t="n">
        <x:f>'Допущения'!C37*'Допущения'!$B$8*'Допущения'!D37*$B26*(1+'Допущения'!$B$13)^1</x:f>
        <x:v>118404.61016949151</x:v>
      </x:c>
      <x:c r="J26" s="7" t="n">
        <x:f>SUM(C26:I26)</x:f>
        <x:v>8506713.437288135</x:v>
      </x:c>
      <x:c r="K26" s="9" t="n">
        <x:f>J26/(1+'Допущения'!$B$9)</x:f>
        <x:v>8101631.8450363185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1079528.9588377725</x:v>
      </x:c>
      <x:c r="M26" s="9" t="n">
        <x:f>J26*'Допущения'!$B$11</x:f>
        <x:v>170134.2687457627</x:v>
      </x:c>
      <x:c r="N26" s="9" t="n">
        <x:f>'Инвестиции'!$C$35*(1+'Допущения'!$B$14)^1</x:f>
        <x:v>3088009.09865</x:v>
      </x:c>
      <x:c r="O26" s="9" t="n">
        <x:f>K26*'Допущения'!$B$10</x:f>
        <x:v>486097.91070217907</x:v>
      </x:c>
      <x:c r="P26" s="9" t="n">
        <x:f>K26*'Допущения'!$B$12</x:f>
        <x:v>162032.6369007264</x:v>
      </x:c>
      <x:c r="Q26" s="7" t="n">
        <x:f>K26-L26-M26-N26</x:f>
        <x:v>3763959.5188027835</x:v>
      </x:c>
      <x:c r="R26" s="7" t="n">
        <x:f>Q26-O26-P26</x:f>
        <x:v>3115828.971199878</x:v>
      </x:c>
      <x:c r="S26" s="7" t="n">
        <x:f>S25+R26</x:f>
        <x:v>15594207.926705569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40.64098613251156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5801825.8983050855</x:v>
      </x:c>
      <x:c r="D27" s="9" t="n">
        <x:f>'Допущения'!C32*'Допущения'!$B$8*'Допущения'!D32*$B27*(1+'Допущения'!$B$13)^1</x:f>
        <x:v>683786.6237288136</x:v>
      </x:c>
      <x:c r="E27" s="9" t="n">
        <x:f>'Допущения'!C33*'Допущения'!$B$8*'Допущения'!D33*$B27*(1+'Допущения'!$B$13)^1</x:f>
        <x:v>1036040.3389830509</x:v>
      </x:c>
      <x:c r="F27" s="9" t="n">
        <x:f>'Допущения'!C34*'Допущения'!$B$8*'Допущения'!D34*$B27*(1+'Допущения'!$B$13)^1</x:f>
        <x:v>1243248.406779661</x:v>
      </x:c>
      <x:c r="G27" s="9" t="n">
        <x:f>'Допущения'!C35*'Допущения'!$B$8*'Допущения'!D35*$B27*(1+'Допущения'!$B$13)^1</x:f>
        <x:v>2089348.0169491528</x:v>
      </x:c>
      <x:c r="H27" s="9" t="n">
        <x:f>'Допущения'!C36*'Допущения'!$B$8*'Допущения'!D36*$B27*(1+'Допущения'!$B$13)^1</x:f>
        <x:v>155406.05084745763</x:v>
      </x:c>
      <x:c r="I27" s="9" t="n">
        <x:f>'Допущения'!C37*'Допущения'!$B$8*'Допущения'!D37*$B27*(1+'Допущения'!$B$13)^1</x:f>
        <x:v>155406.05084745763</x:v>
      </x:c>
      <x:c r="J27" s="7" t="n">
        <x:f>SUM(C27:I27)</x:f>
        <x:v>11165061.38644068</x:v>
      </x:c>
      <x:c r="K27" s="9" t="n">
        <x:f>J27/(1+'Допущения'!$B$9)</x:f>
        <x:v>10633391.796610171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1416881.7584745765</x:v>
      </x:c>
      <x:c r="M27" s="9" t="n">
        <x:f>J27*'Допущения'!$B$11</x:f>
        <x:v>223301.2277288136</x:v>
      </x:c>
      <x:c r="N27" s="9" t="n">
        <x:f>'Инвестиции'!$C$35*(1+'Допущения'!$B$14)^1</x:f>
        <x:v>3088009.09865</x:v>
      </x:c>
      <x:c r="O27" s="9" t="n">
        <x:f>K27*'Допущения'!$B$10</x:f>
        <x:v>638003.5077966102</x:v>
      </x:c>
      <x:c r="P27" s="9" t="n">
        <x:f>K27*'Допущения'!$B$12</x:f>
        <x:v>212667.83593220342</x:v>
      </x:c>
      <x:c r="Q27" s="7" t="n">
        <x:f>K27-L27-M27-N27</x:f>
        <x:v>5905199.71175678</x:v>
      </x:c>
      <x:c r="R27" s="7" t="n">
        <x:f>Q27-O27-P27</x:f>
        <x:v>5054528.368027966</x:v>
      </x:c>
      <x:c r="S27" s="7" t="n">
        <x:f>S26+R27</x:f>
        <x:v>20648736.294733535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53.34129429892142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6354380.74576271</x:v>
      </x:c>
      <x:c r="D28" s="9" t="n">
        <x:f>'Допущения'!C32*'Допущения'!$B$8*'Допущения'!D32*$B28*(1+'Допущения'!$B$13)^1</x:f>
        <x:v>748909.1593220338</x:v>
      </x:c>
      <x:c r="E28" s="9" t="n">
        <x:f>'Допущения'!C33*'Допущения'!$B$8*'Допущения'!D33*$B28*(1+'Допущения'!$B$13)^1</x:f>
        <x:v>1134710.8474576268</x:v>
      </x:c>
      <x:c r="F28" s="9" t="n">
        <x:f>'Допущения'!C34*'Допущения'!$B$8*'Допущения'!D34*$B28*(1+'Допущения'!$B$13)^1</x:f>
        <x:v>1361653.0169491523</x:v>
      </x:c>
      <x:c r="G28" s="9" t="n">
        <x:f>'Допущения'!C35*'Допущения'!$B$8*'Допущения'!D35*$B28*(1+'Допущения'!$B$13)^1</x:f>
        <x:v>2288333.542372881</x:v>
      </x:c>
      <x:c r="H28" s="9" t="n">
        <x:f>'Допущения'!C36*'Допущения'!$B$8*'Допущения'!D36*$B28*(1+'Допущения'!$B$13)^1</x:f>
        <x:v>170206.62711864404</x:v>
      </x:c>
      <x:c r="I28" s="9" t="n">
        <x:f>'Допущения'!C37*'Допущения'!$B$8*'Допущения'!D37*$B28*(1+'Допущения'!$B$13)^1</x:f>
        <x:v>170206.62711864404</x:v>
      </x:c>
      <x:c r="J28" s="7" t="n">
        <x:f>SUM(C28:I28)</x:f>
        <x:v>12228400.56610169</x:v>
      </x:c>
      <x:c r="K28" s="9" t="n">
        <x:f>J28/(1+'Допущения'!$B$9)</x:f>
        <x:v>11646095.777239705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1551822.8783292975</x:v>
      </x:c>
      <x:c r="M28" s="9" t="n">
        <x:f>J28*'Допущения'!$B$11</x:f>
        <x:v>244568.01132203382</x:v>
      </x:c>
      <x:c r="N28" s="9" t="n">
        <x:f>'Инвестиции'!$C$35*(1+'Допущения'!$B$14)^1</x:f>
        <x:v>3088009.09865</x:v>
      </x:c>
      <x:c r="O28" s="9" t="n">
        <x:f>K28*'Допущения'!$B$10</x:f>
        <x:v>698765.7466343823</x:v>
      </x:c>
      <x:c r="P28" s="9" t="n">
        <x:f>K28*'Допущения'!$B$12</x:f>
        <x:v>232921.9155447941</x:v>
      </x:c>
      <x:c r="Q28" s="7" t="n">
        <x:f>K28-L28-M28-N28</x:f>
        <x:v>6761695.788938372</x:v>
      </x:c>
      <x:c r="R28" s="7" t="n">
        <x:f>Q28-O28-P28</x:f>
        <x:v>5830008.126759197</x:v>
      </x:c>
      <x:c r="S28" s="7" t="n">
        <x:f>S27+R28</x:f>
        <x:v>26478744.421492733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58.42141756548535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6630658.169491525</x:v>
      </x:c>
      <x:c r="D29" s="9" t="n">
        <x:f>'Допущения'!C32*'Допущения'!$B$8*'Допущения'!D32*$B29*(1+'Допущения'!$B$13)^1</x:f>
        <x:v>781470.427118644</x:v>
      </x:c>
      <x:c r="E29" s="9" t="n">
        <x:f>'Допущения'!C33*'Допущения'!$B$8*'Допущения'!D33*$B29*(1+'Допущения'!$B$13)^1</x:f>
        <x:v>1184046.1016949152</x:v>
      </x:c>
      <x:c r="F29" s="9" t="n">
        <x:f>'Допущения'!C34*'Допущения'!$B$8*'Допущения'!D34*$B29*(1+'Допущения'!$B$13)^1</x:f>
        <x:v>1420855.3220338982</x:v>
      </x:c>
      <x:c r="G29" s="9" t="n">
        <x:f>'Допущения'!C35*'Допущения'!$B$8*'Допущения'!D35*$B29*(1+'Допущения'!$B$13)^1</x:f>
        <x:v>2387826.305084746</x:v>
      </x:c>
      <x:c r="H29" s="9" t="n">
        <x:f>'Допущения'!C36*'Допущения'!$B$8*'Допущения'!D36*$B29*(1+'Допущения'!$B$13)^1</x:f>
        <x:v>177606.91525423728</x:v>
      </x:c>
      <x:c r="I29" s="9" t="n">
        <x:f>'Допущения'!C37*'Допущения'!$B$8*'Допущения'!D37*$B29*(1+'Допущения'!$B$13)^1</x:f>
        <x:v>177606.91525423728</x:v>
      </x:c>
      <x:c r="J29" s="7" t="n">
        <x:f>SUM(C29:I29)</x:f>
        <x:v>12760070.155932203</x:v>
      </x:c>
      <x:c r="K29" s="9" t="n">
        <x:f>J29/(1+'Допущения'!$B$9)</x:f>
        <x:v>12152447.767554479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1619293.4382566586</x:v>
      </x:c>
      <x:c r="M29" s="9" t="n">
        <x:f>J29*'Допущения'!$B$11</x:f>
        <x:v>255201.40311864406</x:v>
      </x:c>
      <x:c r="N29" s="9" t="n">
        <x:f>'Инвестиции'!$C$35*(1+'Допущения'!$B$14)^1</x:f>
        <x:v>3088009.09865</x:v>
      </x:c>
      <x:c r="O29" s="9" t="n">
        <x:f>K29*'Допущения'!$B$10</x:f>
        <x:v>729146.8660532687</x:v>
      </x:c>
      <x:c r="P29" s="9" t="n">
        <x:f>K29*'Допущения'!$B$12</x:f>
        <x:v>243048.9553510896</x:v>
      </x:c>
      <x:c r="Q29" s="7" t="n">
        <x:f>K29-L29-M29-N29</x:f>
        <x:v>7189943.827529176</x:v>
      </x:c>
      <x:c r="R29" s="7" t="n">
        <x:f>Q29-O29-P29</x:f>
        <x:v>6217748.006124819</x:v>
      </x:c>
      <x:c r="S29" s="7" t="n">
        <x:f>S28+R29</x:f>
        <x:v>32696492.42761755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60.96147919876733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6906935.593220338</x:v>
      </x:c>
      <x:c r="D30" s="9" t="n">
        <x:f>'Допущения'!C32*'Допущения'!$B$8*'Допущения'!D32*$B30*(1+'Допущения'!$B$13)^1</x:f>
        <x:v>814031.6949152543</x:v>
      </x:c>
      <x:c r="E30" s="9" t="n">
        <x:f>'Допущения'!C33*'Допущения'!$B$8*'Допущения'!D33*$B30*(1+'Допущения'!$B$13)^1</x:f>
        <x:v>1233381.3559322034</x:v>
      </x:c>
      <x:c r="F30" s="9" t="n">
        <x:f>'Допущения'!C34*'Допущения'!$B$8*'Допущения'!D34*$B30*(1+'Допущения'!$B$13)^1</x:f>
        <x:v>1480057.627118644</x:v>
      </x:c>
      <x:c r="G30" s="9" t="n">
        <x:f>'Допущения'!C35*'Допущения'!$B$8*'Допущения'!D35*$B30*(1+'Допущения'!$B$13)^1</x:f>
        <x:v>2487319.06779661</x:v>
      </x:c>
      <x:c r="H30" s="9" t="n">
        <x:f>'Допущения'!C36*'Допущения'!$B$8*'Допущения'!D36*$B30*(1+'Допущения'!$B$13)^1</x:f>
        <x:v>185007.2033898305</x:v>
      </x:c>
      <x:c r="I30" s="9" t="n">
        <x:f>'Допущения'!C37*'Допущения'!$B$8*'Допущения'!D37*$B30*(1+'Допущения'!$B$13)^1</x:f>
        <x:v>185007.2033898305</x:v>
      </x:c>
      <x:c r="J30" s="7" t="n">
        <x:f>SUM(C30:I30)</x:f>
        <x:v>13291739.745762711</x:v>
      </x:c>
      <x:c r="K30" s="9" t="n">
        <x:f>J30/(1+'Допущения'!$B$9)</x:f>
        <x:v>12658799.75786925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1686763.9981840192</x:v>
      </x:c>
      <x:c r="M30" s="9" t="n">
        <x:f>J30*'Допущения'!$B$11</x:f>
        <x:v>265834.7949152542</x:v>
      </x:c>
      <x:c r="N30" s="9" t="n">
        <x:f>'Инвестиции'!$C$35*(1+'Допущения'!$B$14)^1</x:f>
        <x:v>3088009.09865</x:v>
      </x:c>
      <x:c r="O30" s="9" t="n">
        <x:f>K30*'Допущения'!$B$10</x:f>
        <x:v>759527.9854721549</x:v>
      </x:c>
      <x:c r="P30" s="9" t="n">
        <x:f>K30*'Допущения'!$B$12</x:f>
        <x:v>253175.99515738498</x:v>
      </x:c>
      <x:c r="Q30" s="7" t="n">
        <x:f>K30-L30-M30-N30</x:f>
        <x:v>7618191.866119974</x:v>
      </x:c>
      <x:c r="R30" s="7" t="n">
        <x:f>Q30-O30-P30</x:f>
        <x:v>6605487.885490434</x:v>
      </x:c>
      <x:c r="S30" s="7" t="n">
        <x:f>S29+R30</x:f>
        <x:v>39301980.31310798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63.501540832049315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6260446.421694916</x:v>
      </x:c>
      <x:c r="D31" s="9" t="n">
        <x:f>'Допущения'!C32*'Допущения'!$B$8*'Допущения'!D32*$B31*(1+'Допущения'!$B$13)^2</x:f>
        <x:v>737838.3282711864</x:v>
      </x:c>
      <x:c r="E31" s="9" t="n">
        <x:f>'Допущения'!C33*'Допущения'!$B$8*'Допущения'!D33*$B31*(1+'Допущения'!$B$13)^2</x:f>
        <x:v>1117936.8610169492</x:v>
      </x:c>
      <x:c r="F31" s="9" t="n">
        <x:f>'Допущения'!C34*'Допущения'!$B$8*'Допущения'!D34*$B31*(1+'Допущения'!$B$13)^2</x:f>
        <x:v>1341524.2332203393</x:v>
      </x:c>
      <x:c r="G31" s="9" t="n">
        <x:f>'Допущения'!C35*'Допущения'!$B$8*'Допущения'!D35*$B31*(1+'Допущения'!$B$13)^2</x:f>
        <x:v>2254506.0030508474</x:v>
      </x:c>
      <x:c r="H31" s="9" t="n">
        <x:f>'Допущения'!C36*'Допущения'!$B$8*'Допущения'!D36*$B31*(1+'Допущения'!$B$13)^2</x:f>
        <x:v>167690.5291525424</x:v>
      </x:c>
      <x:c r="I31" s="9" t="n">
        <x:f>'Допущения'!C37*'Допущения'!$B$8*'Допущения'!D37*$B31*(1+'Допущения'!$B$13)^2</x:f>
        <x:v>167690.5291525424</x:v>
      </x:c>
      <x:c r="J31" s="7" t="n">
        <x:f>SUM(C31:I31)</x:f>
        <x:v>12047632.905559322</x:v>
      </x:c>
      <x:c r="K31" s="9" t="n">
        <x:f>J31/(1+'Допущения'!$B$9)</x:f>
        <x:v>11473936.100532686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1529712.7260895884</x:v>
      </x:c>
      <x:c r="M31" s="9" t="n">
        <x:f>J31*'Допущения'!$B$11</x:f>
        <x:v>240952.65811118644</x:v>
      </x:c>
      <x:c r="N31" s="9" t="n">
        <x:f>'Инвестиции'!$C$35*(1+'Допущения'!$B$14)^2</x:f>
        <x:v>3242409.5535825</x:v>
      </x:c>
      <x:c r="O31" s="9" t="n">
        <x:f>K31*'Допущения'!$B$10</x:f>
        <x:v>688436.1660319612</x:v>
      </x:c>
      <x:c r="P31" s="9" t="n">
        <x:f>K31*'Допущения'!$B$12</x:f>
        <x:v>229478.72201065373</x:v>
      </x:c>
      <x:c r="Q31" s="7" t="n">
        <x:f>K31-L31-M31-N31</x:f>
        <x:v>6460861.162749412</x:v>
      </x:c>
      <x:c r="R31" s="7" t="n">
        <x:f>Q31-O31-P31</x:f>
        <x:v>5542946.274706797</x:v>
      </x:c>
      <x:c r="S31" s="7" t="n">
        <x:f>S30+R31</x:f>
        <x:v>44844926.58781478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55.8813559322034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5975880.675254238</x:v>
      </x:c>
      <x:c r="D32" s="9" t="n">
        <x:f>'Допущения'!C32*'Допущения'!$B$8*'Допущения'!D32*$B32*(1+'Допущения'!$B$13)^2</x:f>
        <x:v>704300.2224406779</x:v>
      </x:c>
      <x:c r="E32" s="9" t="n">
        <x:f>'Допущения'!C33*'Допущения'!$B$8*'Допущения'!D33*$B32*(1+'Допущения'!$B$13)^2</x:f>
        <x:v>1067121.5491525424</x:v>
      </x:c>
      <x:c r="F32" s="9" t="n">
        <x:f>'Допущения'!C34*'Допущения'!$B$8*'Допущения'!D34*$B32*(1+'Допущения'!$B$13)^2</x:f>
        <x:v>1280545.8589830508</x:v>
      </x:c>
      <x:c r="G32" s="9" t="n">
        <x:f>'Допущения'!C35*'Допущения'!$B$8*'Допущения'!D35*$B32*(1+'Допущения'!$B$13)^2</x:f>
        <x:v>2152028.457457627</x:v>
      </x:c>
      <x:c r="H32" s="9" t="n">
        <x:f>'Допущения'!C36*'Допущения'!$B$8*'Допущения'!D36*$B32*(1+'Допущения'!$B$13)^2</x:f>
        <x:v>160068.23237288135</x:v>
      </x:c>
      <x:c r="I32" s="9" t="n">
        <x:f>'Допущения'!C37*'Допущения'!$B$8*'Допущения'!D37*$B32*(1+'Допущения'!$B$13)^2</x:f>
        <x:v>160068.23237288135</x:v>
      </x:c>
      <x:c r="J32" s="7" t="n">
        <x:f>SUM(C32:I32)</x:f>
        <x:v>11500013.2280339</x:v>
      </x:c>
      <x:c r="K32" s="9" t="n">
        <x:f>J32/(1+'Допущения'!$B$9)</x:f>
        <x:v>10952393.550508477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1460180.3294491526</x:v>
      </x:c>
      <x:c r="M32" s="9" t="n">
        <x:f>J32*'Допущения'!$B$11</x:f>
        <x:v>230000.264560678</x:v>
      </x:c>
      <x:c r="N32" s="9" t="n">
        <x:f>'Инвестиции'!$C$35*(1+'Допущения'!$B$14)^2</x:f>
        <x:v>3242409.5535825</x:v>
      </x:c>
      <x:c r="O32" s="9" t="n">
        <x:f>K32*'Допущения'!$B$10</x:f>
        <x:v>657143.6130305086</x:v>
      </x:c>
      <x:c r="P32" s="9" t="n">
        <x:f>K32*'Допущения'!$B$12</x:f>
        <x:v>219047.87101016953</x:v>
      </x:c>
      <x:c r="Q32" s="7" t="n">
        <x:f>K32-L32-M32-N32</x:f>
        <x:v>6019803.402916146</x:v>
      </x:c>
      <x:c r="R32" s="7" t="n">
        <x:f>Q32-O32-P32</x:f>
        <x:v>5143611.918875469</x:v>
      </x:c>
      <x:c r="S32" s="7" t="n">
        <x:f>S31+R32</x:f>
        <x:v>49988538.50669025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53.34129429892142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5691314.928813558</x:v>
      </x:c>
      <x:c r="D33" s="9" t="n">
        <x:f>'Допущения'!C32*'Допущения'!$B$8*'Допущения'!D32*$B33*(1+'Допущения'!$B$13)^2</x:f>
        <x:v>670762.1166101694</x:v>
      </x:c>
      <x:c r="E33" s="9" t="n">
        <x:f>'Допущения'!C33*'Допущения'!$B$8*'Допущения'!D33*$B33*(1+'Допущения'!$B$13)^2</x:f>
        <x:v>1016306.2372881355</x:v>
      </x:c>
      <x:c r="F33" s="9" t="n">
        <x:f>'Допущения'!C34*'Допущения'!$B$8*'Допущения'!D34*$B33*(1+'Допущения'!$B$13)^2</x:f>
        <x:v>1219567.4847457625</x:v>
      </x:c>
      <x:c r="G33" s="9" t="n">
        <x:f>'Допущения'!C35*'Допущения'!$B$8*'Допущения'!D35*$B33*(1+'Допущения'!$B$13)^2</x:f>
        <x:v>2049550.9118644067</x:v>
      </x:c>
      <x:c r="H33" s="9" t="n">
        <x:f>'Допущения'!C36*'Допущения'!$B$8*'Допущения'!D36*$B33*(1+'Допущения'!$B$13)^2</x:f>
        <x:v>152445.93559322032</x:v>
      </x:c>
      <x:c r="I33" s="9" t="n">
        <x:f>'Допущения'!C37*'Допущения'!$B$8*'Допущения'!D37*$B33*(1+'Допущения'!$B$13)^2</x:f>
        <x:v>152445.93559322032</x:v>
      </x:c>
      <x:c r="J33" s="7" t="n">
        <x:f>SUM(C33:I33)</x:f>
        <x:v>10952393.550508471</x:v>
      </x:c>
      <x:c r="K33" s="9" t="n">
        <x:f>J33/(1+'Допущения'!$B$9)</x:f>
        <x:v>10430851.000484258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1390647.9328087165</x:v>
      </x:c>
      <x:c r="M33" s="9" t="n">
        <x:f>J33*'Допущения'!$B$11</x:f>
        <x:v>219047.87101016942</x:v>
      </x:c>
      <x:c r="N33" s="9" t="n">
        <x:f>'Инвестиции'!$C$35*(1+'Допущения'!$B$14)^2</x:f>
        <x:v>3242409.5535825</x:v>
      </x:c>
      <x:c r="O33" s="9" t="n">
        <x:f>K33*'Допущения'!$B$10</x:f>
        <x:v>625851.0600290555</x:v>
      </x:c>
      <x:c r="P33" s="9" t="n">
        <x:f>K33*'Допущения'!$B$12</x:f>
        <x:v>208617.02000968516</x:v>
      </x:c>
      <x:c r="Q33" s="7" t="n">
        <x:f>K33-L33-M33-N33</x:f>
        <x:v>5578745.643082872</x:v>
      </x:c>
      <x:c r="R33" s="7" t="n">
        <x:f>Q33-O33-P33</x:f>
        <x:v>4744277.563044131</x:v>
      </x:c>
      <x:c r="S33" s="7" t="n">
        <x:f>S32+R33</x:f>
        <x:v>54732816.06973438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50.801232665639446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5122183.435932203</x:v>
      </x:c>
      <x:c r="D34" s="9" t="n">
        <x:f>'Допущения'!C32*'Допущения'!$B$8*'Допущения'!D32*$B34*(1+'Допущения'!$B$13)^2</x:f>
        <x:v>603685.9049491525</x:v>
      </x:c>
      <x:c r="E34" s="9" t="n">
        <x:f>'Допущения'!C33*'Допущения'!$B$8*'Допущения'!D33*$B34*(1+'Допущения'!$B$13)^2</x:f>
        <x:v>914675.613559322</x:v>
      </x:c>
      <x:c r="F34" s="9" t="n">
        <x:f>'Допущения'!C34*'Допущения'!$B$8*'Допущения'!D34*$B34*(1+'Допущения'!$B$13)^2</x:f>
        <x:v>1097610.7362711865</x:v>
      </x:c>
      <x:c r="G34" s="9" t="n">
        <x:f>'Допущения'!C35*'Допущения'!$B$8*'Допущения'!D35*$B34*(1+'Допущения'!$B$13)^2</x:f>
        <x:v>1844595.8206779659</x:v>
      </x:c>
      <x:c r="H34" s="9" t="n">
        <x:f>'Допущения'!C36*'Допущения'!$B$8*'Допущения'!D36*$B34*(1+'Допущения'!$B$13)^2</x:f>
        <x:v>137201.3420338983</x:v>
      </x:c>
      <x:c r="I34" s="9" t="n">
        <x:f>'Допущения'!C37*'Допущения'!$B$8*'Допущения'!D37*$B34*(1+'Допущения'!$B$13)^2</x:f>
        <x:v>137201.3420338983</x:v>
      </x:c>
      <x:c r="J34" s="7" t="n">
        <x:f>SUM(C34:I34)</x:f>
        <x:v>9857154.195457626</x:v>
      </x:c>
      <x:c r="K34" s="9" t="n">
        <x:f>J34/(1+'Допущения'!$B$9)</x:f>
        <x:v>9387765.900435833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1251583.1395278447</x:v>
      </x:c>
      <x:c r="M34" s="9" t="n">
        <x:f>J34*'Допущения'!$B$11</x:f>
        <x:v>197143.08390915254</x:v>
      </x:c>
      <x:c r="N34" s="9" t="n">
        <x:f>'Инвестиции'!$C$35*(1+'Допущения'!$B$14)^2</x:f>
        <x:v>3242409.5535825</x:v>
      </x:c>
      <x:c r="O34" s="9" t="n">
        <x:f>K34*'Допущения'!$B$10</x:f>
        <x:v>563265.9540261499</x:v>
      </x:c>
      <x:c r="P34" s="9" t="n">
        <x:f>K34*'Допущения'!$B$12</x:f>
        <x:v>187755.31800871665</x:v>
      </x:c>
      <x:c r="Q34" s="7" t="n">
        <x:f>K34-L34-M34-N34</x:f>
        <x:v>4696630.123416336</x:v>
      </x:c>
      <x:c r="R34" s="7" t="n">
        <x:f>Q34-O34-P34</x:f>
        <x:v>3945608.8513814695</x:v>
      </x:c>
      <x:c r="S34" s="7" t="n">
        <x:f>S33+R34</x:f>
        <x:v>58678424.921115845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45.721109399075495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4837617.689491524</x:v>
      </x:c>
      <x:c r="D35" s="9" t="n">
        <x:f>'Допущения'!C32*'Допущения'!$B$8*'Допущения'!D32*$B35*(1+'Допущения'!$B$13)^2</x:f>
        <x:v>570147.799118644</x:v>
      </x:c>
      <x:c r="E35" s="9" t="n">
        <x:f>'Допущения'!C33*'Допущения'!$B$8*'Допущения'!D33*$B35*(1+'Допущения'!$B$13)^2</x:f>
        <x:v>863860.301694915</x:v>
      </x:c>
      <x:c r="F35" s="9" t="n">
        <x:f>'Допущения'!C34*'Допущения'!$B$8*'Допущения'!D34*$B35*(1+'Допущения'!$B$13)^2</x:f>
        <x:v>1036632.3620338981</x:v>
      </x:c>
      <x:c r="G35" s="9" t="n">
        <x:f>'Допущения'!C35*'Допущения'!$B$8*'Допущения'!D35*$B35*(1+'Допущения'!$B$13)^2</x:f>
        <x:v>1742118.2750847456</x:v>
      </x:c>
      <x:c r="H35" s="9" t="n">
        <x:f>'Допущения'!C36*'Допущения'!$B$8*'Допущения'!D36*$B35*(1+'Допущения'!$B$13)^2</x:f>
        <x:v>129579.04525423727</x:v>
      </x:c>
      <x:c r="I35" s="9" t="n">
        <x:f>'Допущения'!C37*'Допущения'!$B$8*'Допущения'!D37*$B35*(1+'Допущения'!$B$13)^2</x:f>
        <x:v>129579.04525423727</x:v>
      </x:c>
      <x:c r="J35" s="7" t="n">
        <x:f>SUM(C35:I35)</x:f>
        <x:v>9309534.517932203</x:v>
      </x:c>
      <x:c r="K35" s="9" t="n">
        <x:f>J35/(1+'Допущения'!$B$9)</x:f>
        <x:v>8866223.350411622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1182050.7428874087</x:v>
      </x:c>
      <x:c r="M35" s="9" t="n">
        <x:f>J35*'Допущения'!$B$11</x:f>
        <x:v>186190.69035864406</x:v>
      </x:c>
      <x:c r="N35" s="9" t="n">
        <x:f>'Инвестиции'!$C$35*(1+'Допущения'!$B$14)^2</x:f>
        <x:v>3242409.5535825</x:v>
      </x:c>
      <x:c r="O35" s="9" t="n">
        <x:f>K35*'Допущения'!$B$10</x:f>
        <x:v>531973.4010246973</x:v>
      </x:c>
      <x:c r="P35" s="9" t="n">
        <x:f>K35*'Допущения'!$B$12</x:f>
        <x:v>177324.46700823243</x:v>
      </x:c>
      <x:c r="Q35" s="7" t="n">
        <x:f>K35-L35-M35-N35</x:f>
        <x:v>4255572.363583069</x:v>
      </x:c>
      <x:c r="R35" s="7" t="n">
        <x:f>Q35-O35-P35</x:f>
        <x:v>3546274.4955501393</x:v>
      </x:c>
      <x:c r="S35" s="7" t="n">
        <x:f>S34+R35</x:f>
        <x:v>62224699.416665986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43.18104776579352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3983920.4501694907</x:v>
      </x:c>
      <x:c r="D36" s="9" t="n">
        <x:f>'Допущения'!C32*'Допущения'!$B$8*'Допущения'!D32*$B36*(1+'Допущения'!$B$13)^2</x:f>
        <x:v>469533.48162711854</x:v>
      </x:c>
      <x:c r="E36" s="9" t="n">
        <x:f>'Допущения'!C33*'Допущения'!$B$8*'Допущения'!D33*$B36*(1+'Допущения'!$B$13)^2</x:f>
        <x:v>711414.3661016948</x:v>
      </x:c>
      <x:c r="F36" s="9" t="n">
        <x:f>'Допущения'!C34*'Допущения'!$B$8*'Допущения'!D34*$B36*(1+'Допущения'!$B$13)^2</x:f>
        <x:v>853697.2393220337</x:v>
      </x:c>
      <x:c r="G36" s="9" t="n">
        <x:f>'Допущения'!C35*'Допущения'!$B$8*'Допущения'!D35*$B36*(1+'Допущения'!$B$13)^2</x:f>
        <x:v>1434685.6383050845</x:v>
      </x:c>
      <x:c r="H36" s="9" t="n">
        <x:f>'Допущения'!C36*'Допущения'!$B$8*'Допущения'!D36*$B36*(1+'Допущения'!$B$13)^2</x:f>
        <x:v>106712.15491525421</x:v>
      </x:c>
      <x:c r="I36" s="9" t="n">
        <x:f>'Допущения'!C37*'Допущения'!$B$8*'Допущения'!D37*$B36*(1+'Допущения'!$B$13)^2</x:f>
        <x:v>106712.15491525421</x:v>
      </x:c>
      <x:c r="J36" s="7" t="n">
        <x:f>SUM(C36:I36)</x:f>
        <x:v>7666675.485355931</x:v>
      </x:c>
      <x:c r="K36" s="9" t="n">
        <x:f>J36/(1+'Допущения'!$B$9)</x:f>
        <x:v>7301595.700338982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973453.5529661014</x:v>
      </x:c>
      <x:c r="M36" s="9" t="n">
        <x:f>J36*'Допущения'!$B$11</x:f>
        <x:v>153333.50970711862</x:v>
      </x:c>
      <x:c r="N36" s="9" t="n">
        <x:f>'Инвестиции'!$C$35*(1+'Допущения'!$B$14)^2</x:f>
        <x:v>3242409.5535825</x:v>
      </x:c>
      <x:c r="O36" s="9" t="n">
        <x:f>K36*'Допущения'!$B$10</x:f>
        <x:v>438095.7420203389</x:v>
      </x:c>
      <x:c r="P36" s="9" t="n">
        <x:f>K36*'Допущения'!$B$12</x:f>
        <x:v>146031.91400677964</x:v>
      </x:c>
      <x:c r="Q36" s="7" t="n">
        <x:f>K36-L36-M36-N36</x:f>
        <x:v>2932399.0840832624</x:v>
      </x:c>
      <x:c r="R36" s="7" t="n">
        <x:f>Q36-O36-P36</x:f>
        <x:v>2348271.428056144</x:v>
      </x:c>
      <x:c r="S36" s="7" t="n">
        <x:f>S35+R36</x:f>
        <x:v>64572970.84472213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35.560862865947605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4268486.1966101695</x:v>
      </x:c>
      <x:c r="D37" s="9" t="n">
        <x:f>'Допущения'!C32*'Допущения'!$B$8*'Допущения'!D32*$B37*(1+'Допущения'!$B$13)^2</x:f>
        <x:v>503071.5874576271</x:v>
      </x:c>
      <x:c r="E37" s="9" t="n">
        <x:f>'Допущения'!C33*'Допущения'!$B$8*'Допущения'!D33*$B37*(1+'Допущения'!$B$13)^2</x:f>
        <x:v>762229.6779661017</x:v>
      </x:c>
      <x:c r="F37" s="9" t="n">
        <x:f>'Допущения'!C34*'Допущения'!$B$8*'Допущения'!D34*$B37*(1+'Допущения'!$B$13)^2</x:f>
        <x:v>914675.613559322</x:v>
      </x:c>
      <x:c r="G37" s="9" t="n">
        <x:f>'Допущения'!C35*'Допущения'!$B$8*'Допущения'!D35*$B37*(1+'Допущения'!$B$13)^2</x:f>
        <x:v>1537163.183898305</x:v>
      </x:c>
      <x:c r="H37" s="9" t="n">
        <x:f>'Допущения'!C36*'Допущения'!$B$8*'Допущения'!D36*$B37*(1+'Допущения'!$B$13)^2</x:f>
        <x:v>114334.45169491525</x:v>
      </x:c>
      <x:c r="I37" s="9" t="n">
        <x:f>'Допущения'!C37*'Допущения'!$B$8*'Допущения'!D37*$B37*(1+'Допущения'!$B$13)^2</x:f>
        <x:v>114334.45169491525</x:v>
      </x:c>
      <x:c r="J37" s="7" t="n">
        <x:f>SUM(C37:I37)</x:f>
        <x:v>8214295.162881356</x:v>
      </x:c>
      <x:c r="K37" s="9" t="n">
        <x:f>J37/(1+'Допущения'!$B$9)</x:f>
        <x:v>7823138.250363195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1042985.9496065374</x:v>
      </x:c>
      <x:c r="M37" s="9" t="n">
        <x:f>J37*'Допущения'!$B$11</x:f>
        <x:v>164285.90325762713</x:v>
      </x:c>
      <x:c r="N37" s="9" t="n">
        <x:f>'Инвестиции'!$C$35*(1+'Допущения'!$B$14)^2</x:f>
        <x:v>3242409.5535825</x:v>
      </x:c>
      <x:c r="O37" s="9" t="n">
        <x:f>K37*'Допущения'!$B$10</x:f>
        <x:v>469388.2950217917</x:v>
      </x:c>
      <x:c r="P37" s="9" t="n">
        <x:f>K37*'Допущения'!$B$12</x:f>
        <x:v>156462.76500726392</x:v>
      </x:c>
      <x:c r="Q37" s="7" t="n">
        <x:f>K37-L37-M37-N37</x:f>
        <x:v>3373456.8439165303</x:v>
      </x:c>
      <x:c r="R37" s="7" t="n">
        <x:f>Q37-O37-P37</x:f>
        <x:v>2747605.783887475</x:v>
      </x:c>
      <x:c r="S37" s="7" t="n">
        <x:f>S36+R37</x:f>
        <x:v>67320576.6286096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38.10092449922958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4553051.943050846</x:v>
      </x:c>
      <x:c r="D38" s="9" t="n">
        <x:f>'Допущения'!C32*'Допущения'!$B$8*'Допущения'!D32*$B38*(1+'Допущения'!$B$13)^2</x:f>
        <x:v>536609.6932881356</x:v>
      </x:c>
      <x:c r="E38" s="9" t="n">
        <x:f>'Допущения'!C33*'Допущения'!$B$8*'Допущения'!D33*$B38*(1+'Допущения'!$B$13)^2</x:f>
        <x:v>813044.9898305084</x:v>
      </x:c>
      <x:c r="F38" s="9" t="n">
        <x:f>'Допущения'!C34*'Допущения'!$B$8*'Допущения'!D34*$B38*(1+'Допущения'!$B$13)^2</x:f>
        <x:v>975653.98779661</x:v>
      </x:c>
      <x:c r="G38" s="9" t="n">
        <x:f>'Допущения'!C35*'Допущения'!$B$8*'Допущения'!D35*$B38*(1+'Допущения'!$B$13)^2</x:f>
        <x:v>1639640.729491525</x:v>
      </x:c>
      <x:c r="H38" s="9" t="n">
        <x:f>'Допущения'!C36*'Допущения'!$B$8*'Допущения'!D36*$B38*(1+'Допущения'!$B$13)^2</x:f>
        <x:v>121956.74847457625</x:v>
      </x:c>
      <x:c r="I38" s="9" t="n">
        <x:f>'Допущения'!C37*'Допущения'!$B$8*'Допущения'!D37*$B38*(1+'Допущения'!$B$13)^2</x:f>
        <x:v>121956.74847457625</x:v>
      </x:c>
      <x:c r="J38" s="7" t="n">
        <x:f>SUM(C38:I38)</x:f>
        <x:v>8761914.840406775</x:v>
      </x:c>
      <x:c r="K38" s="9" t="n">
        <x:f>J38/(1+'Допущения'!$B$9)</x:f>
        <x:v>8344680.800387405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1112518.3462469731</x:v>
      </x:c>
      <x:c r="M38" s="9" t="n">
        <x:f>J38*'Допущения'!$B$11</x:f>
        <x:v>175238.29680813552</x:v>
      </x:c>
      <x:c r="N38" s="9" t="n">
        <x:f>'Инвестиции'!$C$35*(1+'Допущения'!$B$14)^2</x:f>
        <x:v>3242409.5535825</x:v>
      </x:c>
      <x:c r="O38" s="9" t="n">
        <x:f>K38*'Допущения'!$B$10</x:f>
        <x:v>500680.8480232443</x:v>
      </x:c>
      <x:c r="P38" s="9" t="n">
        <x:f>K38*'Допущения'!$B$12</x:f>
        <x:v>166893.6160077481</x:v>
      </x:c>
      <x:c r="Q38" s="7" t="n">
        <x:f>K38-L38-M38-N38</x:f>
        <x:v>3814514.6037497963</x:v>
      </x:c>
      <x:c r="R38" s="7" t="n">
        <x:f>Q38-O38-P38</x:f>
        <x:v>3146940.139718804</x:v>
      </x:c>
      <x:c r="S38" s="7" t="n">
        <x:f>S37+R38</x:f>
        <x:v>70467516.7683284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40.64098613251156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5975880.675254238</x:v>
      </x:c>
      <x:c r="D39" s="9" t="n">
        <x:f>'Допущения'!C32*'Допущения'!$B$8*'Допущения'!D32*$B39*(1+'Допущения'!$B$13)^2</x:f>
        <x:v>704300.2224406779</x:v>
      </x:c>
      <x:c r="E39" s="9" t="n">
        <x:f>'Допущения'!C33*'Допущения'!$B$8*'Допущения'!D33*$B39*(1+'Допущения'!$B$13)^2</x:f>
        <x:v>1067121.5491525424</x:v>
      </x:c>
      <x:c r="F39" s="9" t="n">
        <x:f>'Допущения'!C34*'Допущения'!$B$8*'Допущения'!D34*$B39*(1+'Допущения'!$B$13)^2</x:f>
        <x:v>1280545.8589830508</x:v>
      </x:c>
      <x:c r="G39" s="9" t="n">
        <x:f>'Допущения'!C35*'Допущения'!$B$8*'Допущения'!D35*$B39*(1+'Допущения'!$B$13)^2</x:f>
        <x:v>2152028.457457627</x:v>
      </x:c>
      <x:c r="H39" s="9" t="n">
        <x:f>'Допущения'!C36*'Допущения'!$B$8*'Допущения'!D36*$B39*(1+'Допущения'!$B$13)^2</x:f>
        <x:v>160068.23237288135</x:v>
      </x:c>
      <x:c r="I39" s="9" t="n">
        <x:f>'Допущения'!C37*'Допущения'!$B$8*'Допущения'!D37*$B39*(1+'Допущения'!$B$13)^2</x:f>
        <x:v>160068.23237288135</x:v>
      </x:c>
      <x:c r="J39" s="7" t="n">
        <x:f>SUM(C39:I39)</x:f>
        <x:v>11500013.2280339</x:v>
      </x:c>
      <x:c r="K39" s="9" t="n">
        <x:f>J39/(1+'Допущения'!$B$9)</x:f>
        <x:v>10952393.550508477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1460180.3294491526</x:v>
      </x:c>
      <x:c r="M39" s="9" t="n">
        <x:f>J39*'Допущения'!$B$11</x:f>
        <x:v>230000.264560678</x:v>
      </x:c>
      <x:c r="N39" s="9" t="n">
        <x:f>'Инвестиции'!$C$35*(1+'Допущения'!$B$14)^2</x:f>
        <x:v>3242409.5535825</x:v>
      </x:c>
      <x:c r="O39" s="9" t="n">
        <x:f>K39*'Допущения'!$B$10</x:f>
        <x:v>657143.6130305086</x:v>
      </x:c>
      <x:c r="P39" s="9" t="n">
        <x:f>K39*'Допущения'!$B$12</x:f>
        <x:v>219047.87101016953</x:v>
      </x:c>
      <x:c r="Q39" s="7" t="n">
        <x:f>K39-L39-M39-N39</x:f>
        <x:v>6019803.402916146</x:v>
      </x:c>
      <x:c r="R39" s="7" t="n">
        <x:f>Q39-O39-P39</x:f>
        <x:v>5143611.918875469</x:v>
      </x:c>
      <x:c r="S39" s="7" t="n">
        <x:f>S38+R39</x:f>
        <x:v>75611128.68720387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53.34129429892142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6545012.168135592</x:v>
      </x:c>
      <x:c r="D40" s="9" t="n">
        <x:f>'Допущения'!C32*'Допущения'!$B$8*'Допущения'!D32*$B40*(1+'Допущения'!$B$13)^2</x:f>
        <x:v>771376.4341016947</x:v>
      </x:c>
      <x:c r="E40" s="9" t="n">
        <x:f>'Допущения'!C33*'Допущения'!$B$8*'Допущения'!D33*$B40*(1+'Допущения'!$B$13)^2</x:f>
        <x:v>1168752.1728813557</x:v>
      </x:c>
      <x:c r="F40" s="9" t="n">
        <x:f>'Допущения'!C34*'Допущения'!$B$8*'Допущения'!D34*$B40*(1+'Допущения'!$B$13)^2</x:f>
        <x:v>1402502.6074576268</x:v>
      </x:c>
      <x:c r="G40" s="9" t="n">
        <x:f>'Допущения'!C35*'Допущения'!$B$8*'Допущения'!D35*$B40*(1+'Допущения'!$B$13)^2</x:f>
        <x:v>2356983.5486440673</x:v>
      </x:c>
      <x:c r="H40" s="9" t="n">
        <x:f>'Допущения'!C36*'Допущения'!$B$8*'Допущения'!D36*$B40*(1+'Допущения'!$B$13)^2</x:f>
        <x:v>175312.82593220336</x:v>
      </x:c>
      <x:c r="I40" s="9" t="n">
        <x:f>'Допущения'!C37*'Допущения'!$B$8*'Допущения'!D37*$B40*(1+'Допущения'!$B$13)^2</x:f>
        <x:v>175312.82593220336</x:v>
      </x:c>
      <x:c r="J40" s="7" t="n">
        <x:f>SUM(C40:I40)</x:f>
        <x:v>12595252.583084742</x:v>
      </x:c>
      <x:c r="K40" s="9" t="n">
        <x:f>J40/(1+'Допущения'!$B$9)</x:f>
        <x:v>11995478.650556896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1599245.1227300237</x:v>
      </x:c>
      <x:c r="M40" s="9" t="n">
        <x:f>J40*'Допущения'!$B$11</x:f>
        <x:v>251905.05166169483</x:v>
      </x:c>
      <x:c r="N40" s="9" t="n">
        <x:f>'Инвестиции'!$C$35*(1+'Допущения'!$B$14)^2</x:f>
        <x:v>3242409.5535825</x:v>
      </x:c>
      <x:c r="O40" s="9" t="n">
        <x:f>K40*'Допущения'!$B$10</x:f>
        <x:v>719728.7190334137</x:v>
      </x:c>
      <x:c r="P40" s="9" t="n">
        <x:f>K40*'Допущения'!$B$12</x:f>
        <x:v>239909.57301113792</x:v>
      </x:c>
      <x:c r="Q40" s="7" t="n">
        <x:f>K40-L40-M40-N40</x:f>
        <x:v>6901918.922582677</x:v>
      </x:c>
      <x:c r="R40" s="7" t="n">
        <x:f>Q40-O40-P40</x:f>
        <x:v>5942280.6305381255</x:v>
      </x:c>
      <x:c r="S40" s="7" t="n">
        <x:f>S39+R40</x:f>
        <x:v>81553409.31774199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58.42141756548535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6829577.914576271</x:v>
      </x:c>
      <x:c r="D41" s="9" t="n">
        <x:f>'Допущения'!C32*'Допущения'!$B$8*'Допущения'!D32*$B41*(1+'Допущения'!$B$13)^2</x:f>
        <x:v>804914.5399322032</x:v>
      </x:c>
      <x:c r="E41" s="9" t="n">
        <x:f>'Допущения'!C33*'Допущения'!$B$8*'Допущения'!D33*$B41*(1+'Допущения'!$B$13)^2</x:f>
        <x:v>1219567.4847457625</x:v>
      </x:c>
      <x:c r="F41" s="9" t="n">
        <x:f>'Допущения'!C34*'Допущения'!$B$8*'Допущения'!D34*$B41*(1+'Допущения'!$B$13)^2</x:f>
        <x:v>1463480.981694915</x:v>
      </x:c>
      <x:c r="G41" s="9" t="n">
        <x:f>'Допущения'!C35*'Допущения'!$B$8*'Допущения'!D35*$B41*(1+'Допущения'!$B$13)^2</x:f>
        <x:v>2459461.094237288</x:v>
      </x:c>
      <x:c r="H41" s="9" t="n">
        <x:f>'Допущения'!C36*'Допущения'!$B$8*'Допущения'!D36*$B41*(1+'Допущения'!$B$13)^2</x:f>
        <x:v>182935.1227118644</x:v>
      </x:c>
      <x:c r="I41" s="9" t="n">
        <x:f>'Допущения'!C37*'Допущения'!$B$8*'Допущения'!D37*$B41*(1+'Допущения'!$B$13)^2</x:f>
        <x:v>182935.1227118644</x:v>
      </x:c>
      <x:c r="J41" s="7" t="n">
        <x:f>SUM(C41:I41)</x:f>
        <x:v>13142872.26061017</x:v>
      </x:c>
      <x:c r="K41" s="9" t="n">
        <x:f>J41/(1+'Допущения'!$B$9)</x:f>
        <x:v>12517021.200581115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1668777.5193704597</x:v>
      </x:c>
      <x:c r="M41" s="9" t="n">
        <x:f>J41*'Допущения'!$B$11</x:f>
        <x:v>262857.4452122034</x:v>
      </x:c>
      <x:c r="N41" s="9" t="n">
        <x:f>'Инвестиции'!$C$35*(1+'Допущения'!$B$14)^2</x:f>
        <x:v>3242409.5535825</x:v>
      </x:c>
      <x:c r="O41" s="9" t="n">
        <x:f>K41*'Допущения'!$B$10</x:f>
        <x:v>751021.2720348669</x:v>
      </x:c>
      <x:c r="P41" s="9" t="n">
        <x:f>K41*'Допущения'!$B$12</x:f>
        <x:v>250340.4240116223</x:v>
      </x:c>
      <x:c r="Q41" s="7" t="n">
        <x:f>K41-L41-M41-N41</x:f>
        <x:v>7342976.682415951</x:v>
      </x:c>
      <x:c r="R41" s="7" t="n">
        <x:f>Q41-O41-P41</x:f>
        <x:v>6341614.986369462</x:v>
      </x:c>
      <x:c r="S41" s="7" t="n">
        <x:f>S40+R41</x:f>
        <x:v>87895024.30411145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60.96147919876733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7114143.6610169485</x:v>
      </x:c>
      <x:c r="D42" s="9" t="n">
        <x:f>'Допущения'!C32*'Допущения'!$B$8*'Допущения'!D32*$B42*(1+'Допущения'!$B$13)^2</x:f>
        <x:v>838452.6457627118</x:v>
      </x:c>
      <x:c r="E42" s="9" t="n">
        <x:f>'Допущения'!C33*'Допущения'!$B$8*'Допущения'!D33*$B42*(1+'Допущения'!$B$13)^2</x:f>
        <x:v>1270382.7966101693</x:v>
      </x:c>
      <x:c r="F42" s="9" t="n">
        <x:f>'Допущения'!C34*'Допущения'!$B$8*'Допущения'!D34*$B42*(1+'Допущения'!$B$13)^2</x:f>
        <x:v>1524459.3559322034</x:v>
      </x:c>
      <x:c r="G42" s="9" t="n">
        <x:f>'Допущения'!C35*'Допущения'!$B$8*'Допущения'!D35*$B42*(1+'Допущения'!$B$13)^2</x:f>
        <x:v>2561938.6398305083</x:v>
      </x:c>
      <x:c r="H42" s="9" t="n">
        <x:f>'Допущения'!C36*'Допущения'!$B$8*'Допущения'!D36*$B42*(1+'Допущения'!$B$13)^2</x:f>
        <x:v>190557.41949152542</x:v>
      </x:c>
      <x:c r="I42" s="9" t="n">
        <x:f>'Допущения'!C37*'Допущения'!$B$8*'Допущения'!D37*$B42*(1+'Допущения'!$B$13)^2</x:f>
        <x:v>190557.41949152542</x:v>
      </x:c>
      <x:c r="J42" s="7" t="n">
        <x:f>SUM(C42:I42)</x:f>
        <x:v>13690491.938135594</x:v>
      </x:c>
      <x:c r="K42" s="9" t="n">
        <x:f>J42/(1+'Допущения'!$B$9)</x:f>
        <x:v>13038563.750605328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1738309.9160108955</x:v>
      </x:c>
      <x:c r="M42" s="9" t="n">
        <x:f>J42*'Допущения'!$B$11</x:f>
        <x:v>273809.8387627119</x:v>
      </x:c>
      <x:c r="N42" s="9" t="n">
        <x:f>'Инвестиции'!$C$35*(1+'Допущения'!$B$14)^2</x:f>
        <x:v>3242409.5535825</x:v>
      </x:c>
      <x:c r="O42" s="9" t="n">
        <x:f>K42*'Допущения'!$B$10</x:f>
        <x:v>782313.8250363197</x:v>
      </x:c>
      <x:c r="P42" s="9" t="n">
        <x:f>K42*'Допущения'!$B$12</x:f>
        <x:v>260771.27501210658</x:v>
      </x:c>
      <x:c r="Q42" s="7" t="n">
        <x:f>K42-L42-M42-N42</x:f>
        <x:v>7784034.44224922</x:v>
      </x:c>
      <x:c r="R42" s="7" t="n">
        <x:f>Q42-O42-P42</x:f>
        <x:v>6740949.342200793</x:v>
      </x:c>
      <x:c r="S42" s="7" t="n">
        <x:f>S41+R42</x:f>
        <x:v>94635973.64631224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63.501540832049315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6448259.814345763</x:v>
      </x:c>
      <x:c r="D43" s="9" t="n">
        <x:f>'Допущения'!C32*'Допущения'!$B$8*'Допущения'!D32*$B43*(1+'Допущения'!$B$13)^3</x:f>
        <x:v>759973.4781193221</x:v>
      </x:c>
      <x:c r="E43" s="9" t="n">
        <x:f>'Допущения'!C33*'Допущения'!$B$8*'Допущения'!D33*$B43*(1+'Допущения'!$B$13)^3</x:f>
        <x:v>1151474.966847458</x:v>
      </x:c>
      <x:c r="F43" s="9" t="n">
        <x:f>'Допущения'!C34*'Допущения'!$B$8*'Допущения'!D34*$B43*(1+'Допущения'!$B$13)^3</x:f>
        <x:v>1381769.9602169495</x:v>
      </x:c>
      <x:c r="G43" s="9" t="n">
        <x:f>'Допущения'!C35*'Допущения'!$B$8*'Допущения'!D35*$B43*(1+'Допущения'!$B$13)^3</x:f>
        <x:v>2322141.1831423733</x:v>
      </x:c>
      <x:c r="H43" s="9" t="n">
        <x:f>'Допущения'!C36*'Допущения'!$B$8*'Допущения'!D36*$B43*(1+'Допущения'!$B$13)^3</x:f>
        <x:v>172721.24502711868</x:v>
      </x:c>
      <x:c r="I43" s="9" t="n">
        <x:f>'Допущения'!C37*'Допущения'!$B$8*'Допущения'!D37*$B43*(1+'Допущения'!$B$13)^3</x:f>
        <x:v>172721.24502711868</x:v>
      </x:c>
      <x:c r="J43" s="7" t="n">
        <x:f>SUM(C43:I43)</x:f>
        <x:v>12409061.892726105</x:v>
      </x:c>
      <x:c r="K43" s="9" t="n">
        <x:f>J43/(1+'Допущения'!$B$9)</x:f>
        <x:v>11818154.18354867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1576475.437914649</x:v>
      </x:c>
      <x:c r="M43" s="9" t="n">
        <x:f>J43*'Допущения'!$B$11</x:f>
        <x:v>248181.2378545221</x:v>
      </x:c>
      <x:c r="N43" s="9" t="n">
        <x:f>'Инвестиции'!$C$35*(1+'Допущения'!$B$14)^3</x:f>
        <x:v>3404530.0312616257</x:v>
      </x:c>
      <x:c r="O43" s="9" t="n">
        <x:f>K43*'Допущения'!$B$10</x:f>
        <x:v>709089.2510129202</x:v>
      </x:c>
      <x:c r="P43" s="9" t="n">
        <x:f>K43*'Допущения'!$B$12</x:f>
        <x:v>236363.0836709734</x:v>
      </x:c>
      <x:c r="Q43" s="7" t="n">
        <x:f>K43-L43-M43-N43</x:f>
        <x:v>6588967.476517874</x:v>
      </x:c>
      <x:c r="R43" s="7" t="n">
        <x:f>Q43-O43-P43</x:f>
        <x:v>5643515.14183398</x:v>
      </x:c>
      <x:c r="S43" s="7" t="n">
        <x:f>S42+R43</x:f>
        <x:v>100279488.78814621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55.8813559322034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6155157.095511865</x:v>
      </x:c>
      <x:c r="D44" s="9" t="n">
        <x:f>'Допущения'!C32*'Допущения'!$B$8*'Допущения'!D32*$B44*(1+'Допущения'!$B$13)^3</x:f>
        <x:v>725429.2291138984</x:v>
      </x:c>
      <x:c r="E44" s="9" t="n">
        <x:f>'Допущения'!C33*'Допущения'!$B$8*'Допущения'!D33*$B44*(1+'Допущения'!$B$13)^3</x:f>
        <x:v>1099135.1956271187</x:v>
      </x:c>
      <x:c r="F44" s="9" t="n">
        <x:f>'Допущения'!C34*'Допущения'!$B$8*'Допущения'!D34*$B44*(1+'Допущения'!$B$13)^3</x:f>
        <x:v>1318962.2347525423</x:v>
      </x:c>
      <x:c r="G44" s="9" t="n">
        <x:f>'Допущения'!C35*'Допущения'!$B$8*'Допущения'!D35*$B44*(1+'Допущения'!$B$13)^3</x:f>
        <x:v>2216589.311181356</x:v>
      </x:c>
      <x:c r="H44" s="9" t="n">
        <x:f>'Допущения'!C36*'Допущения'!$B$8*'Допущения'!D36*$B44*(1+'Допущения'!$B$13)^3</x:f>
        <x:v>164870.2793440678</x:v>
      </x:c>
      <x:c r="I44" s="9" t="n">
        <x:f>'Допущения'!C37*'Допущения'!$B$8*'Допущения'!D37*$B44*(1+'Допущения'!$B$13)^3</x:f>
        <x:v>164870.2793440678</x:v>
      </x:c>
      <x:c r="J44" s="7" t="n">
        <x:f>SUM(C44:I44)</x:f>
        <x:v>11845013.624874912</x:v>
      </x:c>
      <x:c r="K44" s="9" t="n">
        <x:f>J44/(1+'Допущения'!$B$9)</x:f>
        <x:v>11280965.357023725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1504817.463463983</x:v>
      </x:c>
      <x:c r="M44" s="9" t="n">
        <x:f>J44*'Допущения'!$B$11</x:f>
        <x:v>236900.27249749826</x:v>
      </x:c>
      <x:c r="N44" s="9" t="n">
        <x:f>'Инвестиции'!$C$35*(1+'Допущения'!$B$14)^3</x:f>
        <x:v>3404530.0312616257</x:v>
      </x:c>
      <x:c r="O44" s="9" t="n">
        <x:f>K44*'Допущения'!$B$10</x:f>
        <x:v>676857.9214214234</x:v>
      </x:c>
      <x:c r="P44" s="9" t="n">
        <x:f>K44*'Допущения'!$B$12</x:f>
        <x:v>225619.3071404745</x:v>
      </x:c>
      <x:c r="Q44" s="7" t="n">
        <x:f>K44-L44-M44-N44</x:f>
        <x:v>6134717.5898006195</x:v>
      </x:c>
      <x:c r="R44" s="7" t="n">
        <x:f>Q44-O44-P44</x:f>
        <x:v>5232240.361238722</x:v>
      </x:c>
      <x:c r="S44" s="7" t="n">
        <x:f>S43+R44</x:f>
        <x:v>105511729.14938493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53.34129429892142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5862054.376677966</x:v>
      </x:c>
      <x:c r="D45" s="9" t="n">
        <x:f>'Допущения'!C32*'Допущения'!$B$8*'Допущения'!D32*$B45*(1+'Допущения'!$B$13)^3</x:f>
        <x:v>690884.9801084746</x:v>
      </x:c>
      <x:c r="E45" s="9" t="n">
        <x:f>'Допущения'!C33*'Допущения'!$B$8*'Допущения'!D33*$B45*(1+'Допущения'!$B$13)^3</x:f>
        <x:v>1046795.4244067796</x:v>
      </x:c>
      <x:c r="F45" s="9" t="n">
        <x:f>'Допущения'!C34*'Допущения'!$B$8*'Допущения'!D34*$B45*(1+'Допущения'!$B$13)^3</x:f>
        <x:v>1256154.5092881355</x:v>
      </x:c>
      <x:c r="G45" s="9" t="n">
        <x:f>'Допущения'!C35*'Допущения'!$B$8*'Допущения'!D35*$B45*(1+'Допущения'!$B$13)^3</x:f>
        <x:v>2111037.439220339</x:v>
      </x:c>
      <x:c r="H45" s="9" t="n">
        <x:f>'Допущения'!C36*'Допущения'!$B$8*'Допущения'!D36*$B45*(1+'Допущения'!$B$13)^3</x:f>
        <x:v>157019.31366101693</x:v>
      </x:c>
      <x:c r="I45" s="9" t="n">
        <x:f>'Допущения'!C37*'Допущения'!$B$8*'Допущения'!D37*$B45*(1+'Допущения'!$B$13)^3</x:f>
        <x:v>157019.31366101693</x:v>
      </x:c>
      <x:c r="J45" s="7" t="n">
        <x:f>SUM(C45:I45)</x:f>
        <x:v>11280965.357023727</x:v>
      </x:c>
      <x:c r="K45" s="9" t="n">
        <x:f>J45/(1+'Допущения'!$B$9)</x:f>
        <x:v>10743776.530498788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1433159.489013317</x:v>
      </x:c>
      <x:c r="M45" s="9" t="n">
        <x:f>J45*'Допущения'!$B$11</x:f>
        <x:v>225619.30714047456</x:v>
      </x:c>
      <x:c r="N45" s="9" t="n">
        <x:f>'Инвестиции'!$C$35*(1+'Допущения'!$B$14)^3</x:f>
        <x:v>3404530.0312616257</x:v>
      </x:c>
      <x:c r="O45" s="9" t="n">
        <x:f>K45*'Допущения'!$B$10</x:f>
        <x:v>644626.5918299273</x:v>
      </x:c>
      <x:c r="P45" s="9" t="n">
        <x:f>K45*'Допущения'!$B$12</x:f>
        <x:v>214875.53060997577</x:v>
      </x:c>
      <x:c r="Q45" s="7" t="n">
        <x:f>K45-L45-M45-N45</x:f>
        <x:v>5680467.703083369</x:v>
      </x:c>
      <x:c r="R45" s="7" t="n">
        <x:f>Q45-O45-P45</x:f>
        <x:v>4820965.580643466</x:v>
      </x:c>
      <x:c r="S45" s="7" t="n">
        <x:f>S44+R45</x:f>
        <x:v>110332694.73002839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50.801232665639446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5275848.939010169</x:v>
      </x:c>
      <x:c r="D46" s="9" t="n">
        <x:f>'Допущения'!C32*'Допущения'!$B$8*'Допущения'!D32*$B46*(1+'Допущения'!$B$13)^3</x:f>
        <x:v>621796.4820976271</x:v>
      </x:c>
      <x:c r="E46" s="9" t="n">
        <x:f>'Допущения'!C33*'Допущения'!$B$8*'Допущения'!D33*$B46*(1+'Допущения'!$B$13)^3</x:f>
        <x:v>942115.8819661017</x:v>
      </x:c>
      <x:c r="F46" s="9" t="n">
        <x:f>'Допущения'!C34*'Допущения'!$B$8*'Допущения'!D34*$B46*(1+'Допущения'!$B$13)^3</x:f>
        <x:v>1130539.0583593221</x:v>
      </x:c>
      <x:c r="G46" s="9" t="n">
        <x:f>'Допущения'!C35*'Допущения'!$B$8*'Допущения'!D35*$B46*(1+'Допущения'!$B$13)^3</x:f>
        <x:v>1899933.695298305</x:v>
      </x:c>
      <x:c r="H46" s="9" t="n">
        <x:f>'Допущения'!C36*'Допущения'!$B$8*'Допущения'!D36*$B46*(1+'Допущения'!$B$13)^3</x:f>
        <x:v>141317.38229491527</x:v>
      </x:c>
      <x:c r="I46" s="9" t="n">
        <x:f>'Допущения'!C37*'Допущения'!$B$8*'Допущения'!D37*$B46*(1+'Допущения'!$B$13)^3</x:f>
        <x:v>141317.38229491527</x:v>
      </x:c>
      <x:c r="J46" s="7" t="n">
        <x:f>SUM(C46:I46)</x:f>
        <x:v>10152868.821321357</x:v>
      </x:c>
      <x:c r="K46" s="9" t="n">
        <x:f>J46/(1+'Допущения'!$B$9)</x:f>
        <x:v>9669398.87744891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1289843.5401119855</x:v>
      </x:c>
      <x:c r="M46" s="9" t="n">
        <x:f>J46*'Допущения'!$B$11</x:f>
        <x:v>203057.37642642716</x:v>
      </x:c>
      <x:c r="N46" s="9" t="n">
        <x:f>'Инвестиции'!$C$35*(1+'Допущения'!$B$14)^3</x:f>
        <x:v>3404530.0312616257</x:v>
      </x:c>
      <x:c r="O46" s="9" t="n">
        <x:f>K46*'Допущения'!$B$10</x:f>
        <x:v>580163.9326469346</x:v>
      </x:c>
      <x:c r="P46" s="9" t="n">
        <x:f>K46*'Допущения'!$B$12</x:f>
        <x:v>193387.97754897823</x:v>
      </x:c>
      <x:c r="Q46" s="7" t="n">
        <x:f>K46-L46-M46-N46</x:f>
        <x:v>4771967.929648873</x:v>
      </x:c>
      <x:c r="R46" s="7" t="n">
        <x:f>Q46-O46-P46</x:f>
        <x:v>3998416.01945296</x:v>
      </x:c>
      <x:c r="S46" s="7" t="n">
        <x:f>S45+R46</x:f>
        <x:v>114331110.74948135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45.721109399075495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4982746.22017627</x:v>
      </x:c>
      <x:c r="D47" s="9" t="n">
        <x:f>'Допущения'!C32*'Допущения'!$B$8*'Допущения'!D32*$B47*(1+'Допущения'!$B$13)^3</x:f>
        <x:v>587252.2330922034</x:v>
      </x:c>
      <x:c r="E47" s="9" t="n">
        <x:f>'Допущения'!C33*'Допущения'!$B$8*'Допущения'!D33*$B47*(1+'Допущения'!$B$13)^3</x:f>
        <x:v>889776.1107457626</x:v>
      </x:c>
      <x:c r="F47" s="9" t="n">
        <x:f>'Допущения'!C34*'Допущения'!$B$8*'Допущения'!D34*$B47*(1+'Допущения'!$B$13)^3</x:f>
        <x:v>1067731.332894915</x:v>
      </x:c>
      <x:c r="G47" s="9" t="n">
        <x:f>'Допущения'!C35*'Допущения'!$B$8*'Допущения'!D35*$B47*(1+'Допущения'!$B$13)^3</x:f>
        <x:v>1794381.823337288</x:v>
      </x:c>
      <x:c r="H47" s="9" t="n">
        <x:f>'Допущения'!C36*'Допущения'!$B$8*'Допущения'!D36*$B47*(1+'Допущения'!$B$13)^3</x:f>
        <x:v>133466.41661186438</x:v>
      </x:c>
      <x:c r="I47" s="9" t="n">
        <x:f>'Допущения'!C37*'Допущения'!$B$8*'Допущения'!D37*$B47*(1+'Допущения'!$B$13)^3</x:f>
        <x:v>133466.41661186438</x:v>
      </x:c>
      <x:c r="J47" s="7" t="n">
        <x:f>SUM(C47:I47)</x:f>
        <x:v>9588820.55347017</x:v>
      </x:c>
      <x:c r="K47" s="9" t="n">
        <x:f>J47/(1+'Допущения'!$B$9)</x:f>
        <x:v>9132210.050923971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1218185.5656613195</x:v>
      </x:c>
      <x:c r="M47" s="9" t="n">
        <x:f>J47*'Допущения'!$B$11</x:f>
        <x:v>191776.4110694034</x:v>
      </x:c>
      <x:c r="N47" s="9" t="n">
        <x:f>'Инвестиции'!$C$35*(1+'Допущения'!$B$14)^3</x:f>
        <x:v>3404530.0312616257</x:v>
      </x:c>
      <x:c r="O47" s="9" t="n">
        <x:f>K47*'Допущения'!$B$10</x:f>
        <x:v>547932.6030554383</x:v>
      </x:c>
      <x:c r="P47" s="9" t="n">
        <x:f>K47*'Допущения'!$B$12</x:f>
        <x:v>182644.20101847942</x:v>
      </x:c>
      <x:c r="Q47" s="7" t="n">
        <x:f>K47-L47-M47-N47</x:f>
        <x:v>4317718.042931623</x:v>
      </x:c>
      <x:c r="R47" s="7" t="n">
        <x:f>Q47-O47-P47</x:f>
        <x:v>3587141.238857705</x:v>
      </x:c>
      <x:c r="S47" s="7" t="n">
        <x:f>S46+R47</x:f>
        <x:v>117918251.98833905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43.18104776579352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4103438.0636745756</x:v>
      </x:c>
      <x:c r="D48" s="9" t="n">
        <x:f>'Допущения'!C32*'Допущения'!$B$8*'Допущения'!D32*$B48*(1+'Допущения'!$B$13)^3</x:f>
        <x:v>483619.48607593216</x:v>
      </x:c>
      <x:c r="E48" s="9" t="n">
        <x:f>'Допущения'!C33*'Допущения'!$B$8*'Допущения'!D33*$B48*(1+'Допущения'!$B$13)^3</x:f>
        <x:v>732756.7970847457</x:v>
      </x:c>
      <x:c r="F48" s="9" t="n">
        <x:f>'Допущения'!C34*'Допущения'!$B$8*'Допущения'!D34*$B48*(1+'Допущения'!$B$13)^3</x:f>
        <x:v>879308.1565016947</x:v>
      </x:c>
      <x:c r="G48" s="9" t="n">
        <x:f>'Допущения'!C35*'Допущения'!$B$8*'Допущения'!D35*$B48*(1+'Допущения'!$B$13)^3</x:f>
        <x:v>1477726.2074542372</x:v>
      </x:c>
      <x:c r="H48" s="9" t="n">
        <x:f>'Допущения'!C36*'Допущения'!$B$8*'Допущения'!D36*$B48*(1+'Допущения'!$B$13)^3</x:f>
        <x:v>109913.51956271184</x:v>
      </x:c>
      <x:c r="I48" s="9" t="n">
        <x:f>'Допущения'!C37*'Допущения'!$B$8*'Допущения'!D37*$B48*(1+'Допущения'!$B$13)^3</x:f>
        <x:v>109913.51956271184</x:v>
      </x:c>
      <x:c r="J48" s="7" t="n">
        <x:f>SUM(C48:I48)</x:f>
        <x:v>7896675.749916609</x:v>
      </x:c>
      <x:c r="K48" s="9" t="n">
        <x:f>J48/(1+'Допущения'!$B$9)</x:f>
        <x:v>7520643.571349151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1003211.6423093219</x:v>
      </x:c>
      <x:c r="M48" s="9" t="n">
        <x:f>J48*'Допущения'!$B$11</x:f>
        <x:v>157933.5149983322</x:v>
      </x:c>
      <x:c r="N48" s="9" t="n">
        <x:f>'Инвестиции'!$C$35*(1+'Допущения'!$B$14)^3</x:f>
        <x:v>3404530.0312616257</x:v>
      </x:c>
      <x:c r="O48" s="9" t="n">
        <x:f>K48*'Допущения'!$B$10</x:f>
        <x:v>451238.61428094906</x:v>
      </x:c>
      <x:c r="P48" s="9" t="n">
        <x:f>K48*'Допущения'!$B$12</x:f>
        <x:v>150412.87142698304</x:v>
      </x:c>
      <x:c r="Q48" s="7" t="n">
        <x:f>K48-L48-M48-N48</x:f>
        <x:v>2954968.382779871</x:v>
      </x:c>
      <x:c r="R48" s="7" t="n">
        <x:f>Q48-O48-P48</x:f>
        <x:v>2353316.897071939</x:v>
      </x:c>
      <x:c r="S48" s="7" t="n">
        <x:f>S47+R48</x:f>
        <x:v>120271568.885411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35.560862865947605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4396540.782508475</x:v>
      </x:c>
      <x:c r="D49" s="9" t="n">
        <x:f>'Допущения'!C32*'Допущения'!$B$8*'Допущения'!D32*$B49*(1+'Допущения'!$B$13)^3</x:f>
        <x:v>518163.73508135596</x:v>
      </x:c>
      <x:c r="E49" s="9" t="n">
        <x:f>'Допущения'!C33*'Допущения'!$B$8*'Допущения'!D33*$B49*(1+'Допущения'!$B$13)^3</x:f>
        <x:v>785096.5683050848</x:v>
      </x:c>
      <x:c r="F49" s="9" t="n">
        <x:f>'Допущения'!C34*'Допущения'!$B$8*'Допущения'!D34*$B49*(1+'Допущения'!$B$13)^3</x:f>
        <x:v>942115.8819661017</x:v>
      </x:c>
      <x:c r="G49" s="9" t="n">
        <x:f>'Допущения'!C35*'Допущения'!$B$8*'Допущения'!D35*$B49*(1+'Допущения'!$B$13)^3</x:f>
        <x:v>1583278.0794152543</x:v>
      </x:c>
      <x:c r="H49" s="9" t="n">
        <x:f>'Допущения'!C36*'Допущения'!$B$8*'Допущения'!D36*$B49*(1+'Допущения'!$B$13)^3</x:f>
        <x:v>117764.48524576271</x:v>
      </x:c>
      <x:c r="I49" s="9" t="n">
        <x:f>'Допущения'!C37*'Допущения'!$B$8*'Допущения'!D37*$B49*(1+'Допущения'!$B$13)^3</x:f>
        <x:v>117764.48524576271</x:v>
      </x:c>
      <x:c r="J49" s="7" t="n">
        <x:f>SUM(C49:I49)</x:f>
        <x:v>8460724.017767796</x:v>
      </x:c>
      <x:c r="K49" s="9" t="n">
        <x:f>J49/(1+'Допущения'!$B$9)</x:f>
        <x:v>8057832.397874092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1074869.6167599878</x:v>
      </x:c>
      <x:c r="M49" s="9" t="n">
        <x:f>J49*'Допущения'!$B$11</x:f>
        <x:v>169214.48035535592</x:v>
      </x:c>
      <x:c r="N49" s="9" t="n">
        <x:f>'Инвестиции'!$C$35*(1+'Допущения'!$B$14)^3</x:f>
        <x:v>3404530.0312616257</x:v>
      </x:c>
      <x:c r="O49" s="9" t="n">
        <x:f>K49*'Допущения'!$B$10</x:f>
        <x:v>483469.9438724455</x:v>
      </x:c>
      <x:c r="P49" s="9" t="n">
        <x:f>K49*'Допущения'!$B$12</x:f>
        <x:v>161156.64795748185</x:v>
      </x:c>
      <x:c r="Q49" s="7" t="n">
        <x:f>K49-L49-M49-N49</x:f>
        <x:v>3409218.2694971226</x:v>
      </x:c>
      <x:c r="R49" s="7" t="n">
        <x:f>Q49-O49-P49</x:f>
        <x:v>2764591.6776671954</x:v>
      </x:c>
      <x:c r="S49" s="7" t="n">
        <x:f>S48+R49</x:f>
        <x:v>123036160.5630782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38.10092449922958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4689643.501342372</x:v>
      </x:c>
      <x:c r="D50" s="9" t="n">
        <x:f>'Допущения'!C32*'Допущения'!$B$8*'Допущения'!D32*$B50*(1+'Допущения'!$B$13)^3</x:f>
        <x:v>552707.9840867796</x:v>
      </x:c>
      <x:c r="E50" s="9" t="n">
        <x:f>'Допущения'!C33*'Допущения'!$B$8*'Допущения'!D33*$B50*(1+'Допущения'!$B$13)^3</x:f>
        <x:v>837436.3395254236</x:v>
      </x:c>
      <x:c r="F50" s="9" t="n">
        <x:f>'Допущения'!C34*'Допущения'!$B$8*'Допущения'!D34*$B50*(1+'Допущения'!$B$13)^3</x:f>
        <x:v>1004923.6074305084</x:v>
      </x:c>
      <x:c r="G50" s="9" t="n">
        <x:f>'Допущения'!C35*'Допущения'!$B$8*'Допущения'!D35*$B50*(1+'Допущения'!$B$13)^3</x:f>
        <x:v>1688829.951376271</x:v>
      </x:c>
      <x:c r="H50" s="9" t="n">
        <x:f>'Допущения'!C36*'Допущения'!$B$8*'Допущения'!D36*$B50*(1+'Допущения'!$B$13)^3</x:f>
        <x:v>125615.45092881355</x:v>
      </x:c>
      <x:c r="I50" s="9" t="n">
        <x:f>'Допущения'!C37*'Допущения'!$B$8*'Допущения'!D37*$B50*(1+'Допущения'!$B$13)^3</x:f>
        <x:v>125615.45092881355</x:v>
      </x:c>
      <x:c r="J50" s="7" t="n">
        <x:f>SUM(C50:I50)</x:f>
        <x:v>9024772.285618981</x:v>
      </x:c>
      <x:c r="K50" s="9" t="n">
        <x:f>J50/(1+'Допущения'!$B$9)</x:f>
        <x:v>8595021.22439903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1146527.5912106535</x:v>
      </x:c>
      <x:c r="M50" s="9" t="n">
        <x:f>J50*'Допущения'!$B$11</x:f>
        <x:v>180495.44571237962</x:v>
      </x:c>
      <x:c r="N50" s="9" t="n">
        <x:f>'Инвестиции'!$C$35*(1+'Допущения'!$B$14)^3</x:f>
        <x:v>3404530.0312616257</x:v>
      </x:c>
      <x:c r="O50" s="9" t="n">
        <x:f>K50*'Допущения'!$B$10</x:f>
        <x:v>515701.2734639418</x:v>
      </x:c>
      <x:c r="P50" s="9" t="n">
        <x:f>K50*'Допущения'!$B$12</x:f>
        <x:v>171900.4244879806</x:v>
      </x:c>
      <x:c r="Q50" s="7" t="n">
        <x:f>K50-L50-M50-N50</x:f>
        <x:v>3863468.1562143713</x:v>
      </x:c>
      <x:c r="R50" s="7" t="n">
        <x:f>Q50-O50-P50</x:f>
        <x:v>3175866.458262449</x:v>
      </x:c>
      <x:c r="S50" s="7" t="n">
        <x:f>S49+R50</x:f>
        <x:v>126212027.02134064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40.64098613251156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6155157.095511865</x:v>
      </x:c>
      <x:c r="D51" s="9" t="n">
        <x:f>'Допущения'!C32*'Допущения'!$B$8*'Допущения'!D32*$B51*(1+'Допущения'!$B$13)^3</x:f>
        <x:v>725429.2291138984</x:v>
      </x:c>
      <x:c r="E51" s="9" t="n">
        <x:f>'Допущения'!C33*'Допущения'!$B$8*'Допущения'!D33*$B51*(1+'Допущения'!$B$13)^3</x:f>
        <x:v>1099135.1956271187</x:v>
      </x:c>
      <x:c r="F51" s="9" t="n">
        <x:f>'Допущения'!C34*'Допущения'!$B$8*'Допущения'!D34*$B51*(1+'Допущения'!$B$13)^3</x:f>
        <x:v>1318962.2347525423</x:v>
      </x:c>
      <x:c r="G51" s="9" t="n">
        <x:f>'Допущения'!C35*'Допущения'!$B$8*'Допущения'!D35*$B51*(1+'Допущения'!$B$13)^3</x:f>
        <x:v>2216589.311181356</x:v>
      </x:c>
      <x:c r="H51" s="9" t="n">
        <x:f>'Допущения'!C36*'Допущения'!$B$8*'Допущения'!D36*$B51*(1+'Допущения'!$B$13)^3</x:f>
        <x:v>164870.2793440678</x:v>
      </x:c>
      <x:c r="I51" s="9" t="n">
        <x:f>'Допущения'!C37*'Допущения'!$B$8*'Допущения'!D37*$B51*(1+'Допущения'!$B$13)^3</x:f>
        <x:v>164870.2793440678</x:v>
      </x:c>
      <x:c r="J51" s="7" t="n">
        <x:f>SUM(C51:I51)</x:f>
        <x:v>11845013.624874912</x:v>
      </x:c>
      <x:c r="K51" s="9" t="n">
        <x:f>J51/(1+'Допущения'!$B$9)</x:f>
        <x:v>11280965.357023725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1504817.463463983</x:v>
      </x:c>
      <x:c r="M51" s="9" t="n">
        <x:f>J51*'Допущения'!$B$11</x:f>
        <x:v>236900.27249749826</x:v>
      </x:c>
      <x:c r="N51" s="9" t="n">
        <x:f>'Инвестиции'!$C$35*(1+'Допущения'!$B$14)^3</x:f>
        <x:v>3404530.0312616257</x:v>
      </x:c>
      <x:c r="O51" s="9" t="n">
        <x:f>K51*'Допущения'!$B$10</x:f>
        <x:v>676857.9214214234</x:v>
      </x:c>
      <x:c r="P51" s="9" t="n">
        <x:f>K51*'Допущения'!$B$12</x:f>
        <x:v>225619.3071404745</x:v>
      </x:c>
      <x:c r="Q51" s="7" t="n">
        <x:f>K51-L51-M51-N51</x:f>
        <x:v>6134717.5898006195</x:v>
      </x:c>
      <x:c r="R51" s="7" t="n">
        <x:f>Q51-O51-P51</x:f>
        <x:v>5232240.361238722</x:v>
      </x:c>
      <x:c r="S51" s="7" t="n">
        <x:f>S50+R51</x:f>
        <x:v>131444267.38257936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53.34129429892142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6741362.533179659</x:v>
      </x:c>
      <x:c r="D52" s="9" t="n">
        <x:f>'Допущения'!C32*'Допущения'!$B$8*'Допущения'!D32*$B52*(1+'Допущения'!$B$13)^3</x:f>
        <x:v>794517.7271247456</x:v>
      </x:c>
      <x:c r="E52" s="9" t="n">
        <x:f>'Допущения'!C33*'Допущения'!$B$8*'Допущения'!D33*$B52*(1+'Допущения'!$B$13)^3</x:f>
        <x:v>1203814.7380677965</x:v>
      </x:c>
      <x:c r="F52" s="9" t="n">
        <x:f>'Допущения'!C34*'Допущения'!$B$8*'Допущения'!D34*$B52*(1+'Допущения'!$B$13)^3</x:f>
        <x:v>1444577.6856813557</x:v>
      </x:c>
      <x:c r="G52" s="9" t="n">
        <x:f>'Допущения'!C35*'Допущения'!$B$8*'Допущения'!D35*$B52*(1+'Допущения'!$B$13)^3</x:f>
        <x:v>2427693.0551033895</x:v>
      </x:c>
      <x:c r="H52" s="9" t="n">
        <x:f>'Допущения'!C36*'Допущения'!$B$8*'Допущения'!D36*$B52*(1+'Допущения'!$B$13)^3</x:f>
        <x:v>180572.21071016946</x:v>
      </x:c>
      <x:c r="I52" s="9" t="n">
        <x:f>'Допущения'!C37*'Допущения'!$B$8*'Допущения'!D37*$B52*(1+'Допущения'!$B$13)^3</x:f>
        <x:v>180572.21071016946</x:v>
      </x:c>
      <x:c r="J52" s="7" t="n">
        <x:f>SUM(C52:I52)</x:f>
        <x:v>12973110.160577286</x:v>
      </x:c>
      <x:c r="K52" s="9" t="n">
        <x:f>J52/(1+'Допущения'!$B$9)</x:f>
        <x:v>12355343.010073606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1648133.4123653143</x:v>
      </x:c>
      <x:c r="M52" s="9" t="n">
        <x:f>J52*'Допущения'!$B$11</x:f>
        <x:v>259462.20321154574</x:v>
      </x:c>
      <x:c r="N52" s="9" t="n">
        <x:f>'Инвестиции'!$C$35*(1+'Допущения'!$B$14)^3</x:f>
        <x:v>3404530.0312616257</x:v>
      </x:c>
      <x:c r="O52" s="9" t="n">
        <x:f>K52*'Допущения'!$B$10</x:f>
        <x:v>741320.5806044163</x:v>
      </x:c>
      <x:c r="P52" s="9" t="n">
        <x:f>K52*'Допущения'!$B$12</x:f>
        <x:v>247106.86020147213</x:v>
      </x:c>
      <x:c r="Q52" s="7" t="n">
        <x:f>K52-L52-M52-N52</x:f>
        <x:v>7043217.363235121</x:v>
      </x:c>
      <x:c r="R52" s="7" t="n">
        <x:f>Q52-O52-P52</x:f>
        <x:v>6054789.922429232</x:v>
      </x:c>
      <x:c r="S52" s="7" t="n">
        <x:f>S51+R52</x:f>
        <x:v>137499057.3050086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58.42141756548535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7034465.2520135585</x:v>
      </x:c>
      <x:c r="D53" s="9" t="n">
        <x:f>'Допущения'!C32*'Допущения'!$B$8*'Допущения'!D32*$B53*(1+'Допущения'!$B$13)^3</x:f>
        <x:v>829061.9761301695</x:v>
      </x:c>
      <x:c r="E53" s="9" t="n">
        <x:f>'Допущения'!C33*'Допущения'!$B$8*'Допущения'!D33*$B53*(1+'Допущения'!$B$13)^3</x:f>
        <x:v>1256154.5092881355</x:v>
      </x:c>
      <x:c r="F53" s="9" t="n">
        <x:f>'Допущения'!C34*'Допущения'!$B$8*'Допущения'!D34*$B53*(1+'Допущения'!$B$13)^3</x:f>
        <x:v>1507385.4111457625</x:v>
      </x:c>
      <x:c r="G53" s="9" t="n">
        <x:f>'Допущения'!C35*'Допущения'!$B$8*'Допущения'!D35*$B53*(1+'Допущения'!$B$13)^3</x:f>
        <x:v>2533244.9270644067</x:v>
      </x:c>
      <x:c r="H53" s="9" t="n">
        <x:f>'Допущения'!C36*'Допущения'!$B$8*'Допущения'!D36*$B53*(1+'Допущения'!$B$13)^3</x:f>
        <x:v>188423.17639322032</x:v>
      </x:c>
      <x:c r="I53" s="9" t="n">
        <x:f>'Допущения'!C37*'Допущения'!$B$8*'Допущения'!D37*$B53*(1+'Допущения'!$B$13)^3</x:f>
        <x:v>188423.17639322032</x:v>
      </x:c>
      <x:c r="J53" s="7" t="n">
        <x:f>SUM(C53:I53)</x:f>
        <x:v>13537158.428428475</x:v>
      </x:c>
      <x:c r="K53" s="9" t="n">
        <x:f>J53/(1+'Допущения'!$B$9)</x:f>
        <x:v>12892531.836598547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1719791.3868159803</x:v>
      </x:c>
      <x:c r="M53" s="9" t="n">
        <x:f>J53*'Допущения'!$B$11</x:f>
        <x:v>270743.1685685695</x:v>
      </x:c>
      <x:c r="N53" s="9" t="n">
        <x:f>'Инвестиции'!$C$35*(1+'Допущения'!$B$14)^3</x:f>
        <x:v>3404530.0312616257</x:v>
      </x:c>
      <x:c r="O53" s="9" t="n">
        <x:f>K53*'Допущения'!$B$10</x:f>
        <x:v>773551.9101959128</x:v>
      </x:c>
      <x:c r="P53" s="9" t="n">
        <x:f>K53*'Допущения'!$B$12</x:f>
        <x:v>257850.63673197094</x:v>
      </x:c>
      <x:c r="Q53" s="7" t="n">
        <x:f>K53-L53-M53-N53</x:f>
        <x:v>7497467.249952371</x:v>
      </x:c>
      <x:c r="R53" s="7" t="n">
        <x:f>Q53-O53-P53</x:f>
        <x:v>6466064.703024487</x:v>
      </x:c>
      <x:c r="S53" s="7" t="n">
        <x:f>S52+R53</x:f>
        <x:v>143965122.00803307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60.96147919876733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7327567.970847457</x:v>
      </x:c>
      <x:c r="D54" s="9" t="n">
        <x:f>'Допущения'!C32*'Допущения'!$B$8*'Допущения'!D32*$B54*(1+'Допущения'!$B$13)^3</x:f>
        <x:v>863606.2251355932</x:v>
      </x:c>
      <x:c r="E54" s="9" t="n">
        <x:f>'Допущения'!C33*'Допущения'!$B$8*'Допущения'!D33*$B54*(1+'Допущения'!$B$13)^3</x:f>
        <x:v>1308494.2805084747</x:v>
      </x:c>
      <x:c r="F54" s="9" t="n">
        <x:f>'Допущения'!C34*'Допущения'!$B$8*'Допущения'!D34*$B54*(1+'Допущения'!$B$13)^3</x:f>
        <x:v>1570193.1366101697</x:v>
      </x:c>
      <x:c r="G54" s="9" t="n">
        <x:f>'Допущения'!C35*'Допущения'!$B$8*'Допущения'!D35*$B54*(1+'Допущения'!$B$13)^3</x:f>
        <x:v>2638796.7990254234</x:v>
      </x:c>
      <x:c r="H54" s="9" t="n">
        <x:f>'Допущения'!C36*'Допущения'!$B$8*'Допущения'!D36*$B54*(1+'Допущения'!$B$13)^3</x:f>
        <x:v>196274.1420762712</x:v>
      </x:c>
      <x:c r="I54" s="9" t="n">
        <x:f>'Допущения'!C37*'Допущения'!$B$8*'Допущения'!D37*$B54*(1+'Допущения'!$B$13)^3</x:f>
        <x:v>196274.1420762712</x:v>
      </x:c>
      <x:c r="J54" s="7" t="n">
        <x:f>SUM(C54:I54)</x:f>
        <x:v>14101206.69627966</x:v>
      </x:c>
      <x:c r="K54" s="9" t="n">
        <x:f>J54/(1+'Допущения'!$B$9)</x:f>
        <x:v>13429720.663123485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1791449.3612666463</x:v>
      </x:c>
      <x:c r="M54" s="9" t="n">
        <x:f>J54*'Допущения'!$B$11</x:f>
        <x:v>282024.1339255932</x:v>
      </x:c>
      <x:c r="N54" s="9" t="n">
        <x:f>'Инвестиции'!$C$35*(1+'Допущения'!$B$14)^3</x:f>
        <x:v>3404530.0312616257</x:v>
      </x:c>
      <x:c r="O54" s="9" t="n">
        <x:f>K54*'Допущения'!$B$10</x:f>
        <x:v>805783.2397874091</x:v>
      </x:c>
      <x:c r="P54" s="9" t="n">
        <x:f>K54*'Допущения'!$B$12</x:f>
        <x:v>268594.4132624697</x:v>
      </x:c>
      <x:c r="Q54" s="7" t="n">
        <x:f>K54-L54-M54-N54</x:f>
        <x:v>7951717.13666962</x:v>
      </x:c>
      <x:c r="R54" s="7" t="n">
        <x:f>Q54-O54-P54</x:f>
        <x:v>6877339.483619741</x:v>
      </x:c>
      <x:c r="S54" s="7" t="n">
        <x:f>S53+R54</x:f>
        <x:v>150842461.49165282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63.501540832049315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RR-FEC-1000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29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5692</x:v>
      </x:c>
      <x:c r="E7" s="28" t="n">
        <x:v>6000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29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3795</x:v>
      </x:c>
      <x:c r="E8" s="28" t="n">
        <x:v>4500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29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6325</x:v>
      </x:c>
      <x:c r="E9" s="28" t="n">
        <x:v>6000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29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9487</x:v>
      </x:c>
      <x:c r="E10" s="28" t="n">
        <x:v>7500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