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214a93c8e42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бзор" sheetId="1" r:id="R74ca0df336084e12"/>
    <x:sheet xmlns:r="http://schemas.openxmlformats.org/officeDocument/2006/relationships" name="Допущения" sheetId="2" r:id="R78f8ea39783f4d0e"/>
    <x:sheet xmlns:r="http://schemas.openxmlformats.org/officeDocument/2006/relationships" name="Оборудование" sheetId="3" r:id="R26776a307d604669"/>
    <x:sheet xmlns:r="http://schemas.openxmlformats.org/officeDocument/2006/relationships" name="Персонал" sheetId="4" r:id="R3c5c123fd7784afb"/>
    <x:sheet xmlns:r="http://schemas.openxmlformats.org/officeDocument/2006/relationships" name="Электрика" sheetId="5" r:id="Rabb4407fb89f4192"/>
    <x:sheet xmlns:r="http://schemas.openxmlformats.org/officeDocument/2006/relationships" name="Инвестиции" sheetId="6" r:id="R49ab28ca3c9447aa"/>
    <x:sheet xmlns:r="http://schemas.openxmlformats.org/officeDocument/2006/relationships" name="Зоны" sheetId="7" r:id="R88754664e584412e"/>
    <x:sheet xmlns:r="http://schemas.openxmlformats.org/officeDocument/2006/relationships" name="Поток 48 мес" sheetId="8" r:id="R6f19cec77f9340d9"/>
    <x:sheet xmlns:r="http://schemas.openxmlformats.org/officeDocument/2006/relationships" name="События" sheetId="9" r:id="R9d9d67458d714208"/>
    <x:sheet xmlns:r="http://schemas.openxmlformats.org/officeDocument/2006/relationships" name="Аркады" sheetId="10" r:id="Rd7359a3e378f4b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#,##0;[Red](#,##0);&quot;—&quot;"/>
    <x:numFmt numFmtId="201" formatCode="0.0%"/>
    <x:numFmt numFmtId="202" formatCode="0.00"/>
    <x:numFmt numFmtId="203" formatCode="0.000"/>
    <x:numFmt numFmtId="204" formatCode="0.0"/>
    <x:numFmt numFmtId="205" formatCode="0%"/>
  </x:numFmts>
  <x:fonts count="7">
    <x:font>
      <x:sz val="11"/>
      <x:name val="Carlito"/>
    </x:font>
    <x:font>
      <x:sz val="11"/>
      <x:color rgb="FF172333"/>
      <x:name val="Arial"/>
    </x:font>
    <x:font>
      <x:b/>
      <x:sz val="19"/>
      <x:color rgb="FFFFFFFF"/>
      <x:name val="Arial"/>
    </x:font>
    <x:font>
      <x:sz val="11"/>
      <x:color rgb="FF008052"/>
      <x:name val="Arial"/>
    </x:font>
    <x:font>
      <x:b/>
      <x:sz val="11"/>
      <x:color rgb="FF172333"/>
      <x:name val="Arial"/>
    </x:font>
    <x:font>
      <x:sz val="11"/>
      <x:color rgb="FF1F58C7"/>
      <x:name val="Arial"/>
    </x:font>
    <x:font>
      <x:b/>
      <x:sz val="11"/>
      <x:color rgb="FF1F58C7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06A7C"/>
      </x:patternFill>
    </x:fill>
    <x:fill>
      <x:patternFill patternType="solid">
        <x:fgColor rgb="FFE8EEF4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4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200" fontId="1" fillId="0" borderId="0" xfId="0" applyNumberFormat="1" applyFont="1" applyFill="1" applyBorder="1"/>
    <x:xf numFmtId="200" fontId="4" fillId="3" borderId="0" xfId="0" applyNumberFormat="1" applyFont="1" applyFill="1" applyBorder="1"/>
    <x:xf numFmtId="200" fontId="3" fillId="0" borderId="0" xfId="0" applyNumberFormat="1" applyFont="1" applyFill="1" applyBorder="1"/>
    <x:xf numFmtId="200" fontId="5" fillId="0" borderId="0" xfId="0" applyNumberFormat="1" applyFont="1" applyFill="1" applyBorder="1"/>
    <x:xf numFmtId="200" fontId="6" fillId="3" borderId="0" xfId="0" applyNumberFormat="1" applyFont="1" applyFill="1" applyBorder="1"/>
    <x:xf numFmtId="0" fontId="5" fillId="0" borderId="0" xfId="0" applyNumberFormat="1" applyFont="1" applyFill="1" applyBorder="1"/>
    <x:xf numFmtId="0" fontId="6" fillId="3" borderId="0" xfId="0" applyNumberFormat="1" applyFont="1" applyFill="1" applyBorder="1"/>
    <x:xf numFmtId="201" fontId="5" fillId="0" borderId="0" xfId="0" applyNumberFormat="1" applyFont="1" applyFill="1" applyBorder="1"/>
    <x:xf numFmtId="202" fontId="5" fillId="0" borderId="0" xfId="0" applyNumberFormat="1" applyFont="1" applyFill="1" applyBorder="1"/>
    <x:xf numFmtId="202" fontId="1" fillId="0" borderId="0" xfId="0" applyNumberFormat="1" applyFont="1" applyFill="1" applyBorder="1"/>
    <x:xf numFmtId="202" fontId="3" fillId="0" borderId="0" xfId="0" applyNumberFormat="1" applyFont="1" applyFill="1" applyBorder="1"/>
    <x:xf numFmtId="203" fontId="1" fillId="0" borderId="0" xfId="0" applyNumberFormat="1" applyFont="1" applyFill="1" applyBorder="1"/>
    <x:xf numFmtId="203" fontId="5" fillId="0" borderId="0" xfId="0" applyNumberFormat="1" applyFont="1" applyFill="1" applyBorder="1"/>
    <x:xf numFmtId="201" fontId="1" fillId="0" borderId="0" xfId="0" applyNumberFormat="1" applyFont="1" applyFill="1" applyBorder="1"/>
    <x:xf numFmtId="204" fontId="1" fillId="0" borderId="0" xfId="0" applyNumberFormat="1" applyFont="1" applyFill="1" applyBorder="1"/>
    <x:xf numFmtId="204" fontId="3" fillId="0" borderId="0" xfId="0" applyNumberFormat="1" applyFont="1" applyFill="1" applyBorder="1"/>
    <x:xf numFmtId="201" fontId="3" fillId="0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205" fontId="1" fillId="0" borderId="0" xfId="0" applyNumberFormat="1" applyFont="1" applyFill="1" applyBorder="1"/>
    <x:xf numFmtId="205" fontId="3" fillId="0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f1e11432a4f12" /><Relationship Type="http://schemas.openxmlformats.org/officeDocument/2006/relationships/theme" Target="/xl/theme/theme1.xml" Id="R00d72f74409a4831" /><Relationship Type="http://schemas.openxmlformats.org/officeDocument/2006/relationships/sharedStrings" Target="/xl/sharedStrings.xml" Id="R78dba3a5228c4029" /><Relationship Type="http://schemas.openxmlformats.org/officeDocument/2006/relationships/worksheet" Target="/xl/worksheets/sheet1.xml" Id="R74ca0df336084e12" /><Relationship Type="http://schemas.openxmlformats.org/officeDocument/2006/relationships/worksheet" Target="/xl/worksheets/sheet2.xml" Id="R78f8ea39783f4d0e" /><Relationship Type="http://schemas.openxmlformats.org/officeDocument/2006/relationships/worksheet" Target="/xl/worksheets/sheet3.xml" Id="R26776a307d604669" /><Relationship Type="http://schemas.openxmlformats.org/officeDocument/2006/relationships/worksheet" Target="/xl/worksheets/sheet4.xml" Id="R3c5c123fd7784afb" /><Relationship Type="http://schemas.openxmlformats.org/officeDocument/2006/relationships/worksheet" Target="/xl/worksheets/sheet5.xml" Id="Rabb4407fb89f4192" /><Relationship Type="http://schemas.openxmlformats.org/officeDocument/2006/relationships/worksheet" Target="/xl/worksheets/sheet6.xml" Id="R49ab28ca3c9447aa" /><Relationship Type="http://schemas.openxmlformats.org/officeDocument/2006/relationships/worksheet" Target="/xl/worksheets/sheet7.xml" Id="R88754664e584412e" /><Relationship Type="http://schemas.openxmlformats.org/officeDocument/2006/relationships/worksheet" Target="/xl/worksheets/sheet8.xml" Id="R6f19cec77f9340d9" /><Relationship Type="http://schemas.openxmlformats.org/officeDocument/2006/relationships/worksheet" Target="/xl/worksheets/sheet9.xml" Id="R9d9d67458d714208" /><Relationship Type="http://schemas.openxmlformats.org/officeDocument/2006/relationships/worksheet" Target="/xl/worksheets/sheet10.xml" Id="Rd7359a3e378f4b4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66" hidden="0" customWidth="1"/>
    <x:col min="2" max="2" width="37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RR-FEC-250 | Обзор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Площадь, м²</x:v>
      </x:c>
      <x:c r="B6" s="25" t="n">
        <x:v>250</x:v>
      </x:c>
      <x:c r="C6" s="24"/>
      <x:c r="D6" s="24"/>
      <x:c r="E6" s="24"/>
      <x:c r="F6" s="24"/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str">
        <x:v>Концепция</x:v>
      </x:c>
      <x:c r="B7" s="7" t="str">
        <x:v>Семейная мастерская</x:v>
      </x:c>
      <x:c r="C7" s="7"/>
      <x:c r="D7" s="7"/>
      <x:c r="E7" s="7"/>
      <x:c r="F7" s="7"/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str">
        <x:v>Оборудование RR, ₽</x:v>
      </x:c>
      <x:c r="B8" s="9" t="n">
        <x:f>'Оборудование'!E24</x:f>
        <x:v>3440480</x:v>
      </x:c>
      <x:c r="C8" s="7"/>
      <x:c r="D8" s="7"/>
      <x:c r="E8" s="7"/>
      <x:c r="F8" s="7"/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str">
        <x:v>Полный стартовый бюджет, ₽</x:v>
      </x:c>
      <x:c r="B9" s="9" t="n">
        <x:f>'Инвестиции'!C21</x:f>
        <x:v>16619141.355</x:v>
      </x:c>
      <x:c r="C9" s="7"/>
      <x:c r="D9" s="7"/>
      <x:c r="E9" s="7"/>
      <x:c r="F9" s="7"/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str">
        <x:v>Платежи в стабильный месяц, ₽</x:v>
      </x:c>
      <x:c r="B10" s="9" t="n">
        <x:f>'Зоны'!E14</x:f>
        <x:v>3673450.2</x:v>
      </x:c>
      <x:c r="C10" s="7"/>
      <x:c r="D10" s="7"/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str">
        <x:v>Поток после налогов / обновления, ₽</x:v>
      </x:c>
      <x:c r="B11" s="9" t="n">
        <x:f>'Зоны'!M14</x:f>
        <x:v>1409805.2376666667</x:v>
      </x:c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str">
        <x:v>Простая окупаемость стабильного режима, мес</x:v>
      </x:c>
      <x:c r="B12" s="21" t="n">
        <x:f>IF(B11&gt;0,B9/B11,"нет")</x:f>
        <x:v>11.788253377825383</x:v>
      </x:c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str">
        <x:v>Окупаемость с разгоном, мес (горизонт 48)</x:v>
      </x:c>
      <x:c r="B13" s="9" t="n">
        <x:f>IF(MIN('Поток 48 мес'!T7:T54)=999,"За 48 мес. нет",MIN('Поток 48 мес'!T7:T54))</x:f>
        <x:v>15</x:v>
      </x:c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str">
        <x:v>Выручка первого года, платежи ₽</x:v>
      </x:c>
      <x:c r="B14" s="9" t="n">
        <x:f>SUM('Поток 48 мес'!J7:J18)</x:f>
        <x:v>37030245.872033894</x:v>
      </x:c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str">
        <x:v>Поток первого года, ₽</x:v>
      </x:c>
      <x:c r="B15" s="9" t="n">
        <x:f>SUM('Поток 48 мес'!R7:R18)</x:f>
        <x:v>11787011.195101688</x:v>
      </x:c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 t="str">
        <x:v>Накопленный поток за 48 месяцев, ₽</x:v>
      </x:c>
      <x:c r="B16" s="9" t="n">
        <x:f>'Поток 48 мес'!S54</x:f>
        <x:v>47110016.723244786</x:v>
      </x:c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 t="str">
        <x:v>Точка безубыточности, платежи/месяц ₽</x:v>
      </x:c>
      <x:c r="B17" s="9" t="n">
        <x:f>'Инвестиции'!C35/((SUM('Зоны'!I7:I13)-SUM('Зоны'!K7:L13))/B10)</x:f>
        <x:v>1735926.846340141</x:v>
      </x:c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Эквивалент посещений для безубыточности</x:v>
      </x:c>
      <x:c r="B18" s="9" t="n">
        <x:f>B17/(B10/'Допущения'!C31/'Допущения'!B8)</x:f>
        <x:v>1351.6170617753496</x:v>
      </x:c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 t="str">
        <x:v>Запрос электрической мощности, кВт</x:v>
      </x:c>
      <x:c r="B19" s="22" t="n">
        <x:f>'Электрика'!E18</x:f>
        <x:v>24.560000000000002</x:v>
      </x:c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 t="str">
        <x:v>Оплачиваемые FTE</x:v>
      </x:c>
      <x:c r="B20" s="22" t="n">
        <x:f>'Персонал'!C15</x:f>
        <x:v>15.149999999999999</x:v>
      </x:c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 t="str">
        <x:v>Вместимость детей — рабочая гипотеза</x:v>
      </x:c>
      <x:c r="B21" s="21" t="n">
        <x:v>30</x:v>
      </x:c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 t="str">
        <x:v>Среднее детей одновременно, выбранный спрос</x:v>
      </x:c>
      <x:c r="B22" s="22" t="n">
        <x:f>'Допущения'!C31*'Допущения'!B8*'Допущения'!B17/'Допущения'!B18/'Допущения'!B16</x:f>
        <x:v>21.668181818181818</x:v>
      </x:c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 t="str">
        <x:v>Проверка площадей, м²</x:v>
      </x:c>
      <x:c r="B23" s="7" t="n">
        <x:v>250</x:v>
      </x:c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Проверки модели</x:v>
      </x:c>
      <x:c r="B27" s="1" t="str">
        <x:v>Результат</x:v>
      </x:c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Доли выручки, сумма</x:v>
      </x:c>
      <x:c r="B28" s="23" t="n">
        <x:f>'Зоны'!N14</x:f>
        <x:v>0.9999999999999998</x:v>
      </x:c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 t="str">
        <x:v>Поток зон минус расчетный стабильный поток</x:v>
      </x:c>
      <x:c r="B29" s="4" t="n">
        <x:f>'Зоны'!M14-('Зоны'!I14-'Инвестиции'!C35-'Зоны'!K14-'Зоны'!L14)</x:f>
        <x:v>4.656612873077393e-10</x:v>
      </x:c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 t="str">
        <x:v>Распределение инвестиций минус общий бюджет</x:v>
      </x:c>
      <x:c r="B30" s="4" t="n">
        <x:f>'Зоны'!O14-'Инвестиции'!C21</x:f>
        <x:v>1.862645149230957e-9</x:v>
      </x:c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 t="str">
        <x:v>Площадь минус задание</x:v>
      </x:c>
      <x:c r="B31" s="1" t="n">
        <x:f>B23-B6</x:f>
        <x:v>0</x:v>
      </x:c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 t="str">
        <x:v>Вместимость: среднее / рабочий максимум</x:v>
      </x:c>
      <x:c r="B32" s="20" t="n">
        <x:f>B22/B21</x:f>
        <x:v>0.7222727272727273</x:v>
      </x:c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 t="str">
        <x:v>Статус и ограничения</x:v>
      </x:c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 t="str">
        <x:v>Концепция для выбора помещения и переговоров. Не рабочий проект и не обещание доходности.</x:v>
      </x:c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 t="str">
        <x:v>На 100 м² банкетная комната и сцена трансформируются; полноценная горячая кухня не помещается.</x:v>
      </x:c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 t="str">
        <x:v>Город 300 тыс. жителей — масштаб рынка, а не доказанный спрос. До аренды проверить конкурентов и платежеспособность.</x:v>
      </x:c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 t="str">
        <x:v>Источники: оборудование robotail.ru (ссылки на листе Оборудование), официальные документы в техническом PDF.</x:v>
      </x:c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55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RR-FEC-250 | Допущения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 t="str">
        <x:v>Выбор сценария</x:v>
      </x:c>
      <x:c r="B5" s="10" t="n">
        <x:v>4</x:v>
      </x:c>
      <x:c r="C5" s="1"/>
      <x:c r="D5" s="12" t="str">
        <x:v>Исходный</x:v>
      </x:c>
      <x:c r="E5" s="12" t="str">
        <x:v>Спрос −30%</x:v>
      </x:c>
      <x:c r="F5" s="12" t="str">
        <x:v>Спрос +25%</x:v>
      </x:c>
      <x:c r="G5" s="12" t="str">
        <x:v>Целевой 9–18 мес.</x:v>
      </x:c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Название</x:v>
      </x:c>
      <x:c r="B6" s="25" t="str">
        <x:f>CHOOSE(B5,D6,E6,F6,G6)</x:f>
        <x:v>Целевая окупаемость</x:v>
      </x:c>
      <x:c r="C6" s="24"/>
      <x:c r="D6" s="27" t="str">
        <x:v>Исходный</x:v>
      </x:c>
      <x:c r="E6" s="27" t="str">
        <x:v>Консервативный</x:v>
      </x:c>
      <x:c r="F6" s="27" t="str">
        <x:v>Рост</x:v>
      </x:c>
      <x:c r="G6" s="27" t="str">
        <x:v>Целевая окупаемость</x:v>
      </x:c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str">
        <x:v>Объемы, множитель</x:v>
      </x:c>
      <x:c r="B7" s="15"/>
      <x:c r="C7" s="7"/>
      <x:c r="D7" s="10" t="n">
        <x:v>1</x:v>
      </x:c>
      <x:c r="E7" s="10" t="n">
        <x:v>0.7</x:v>
      </x:c>
      <x:c r="F7" s="10" t="n">
        <x:v>1.25</x:v>
      </x:c>
      <x:c r="G7" s="10" t="n">
        <x:v>1.589</x:v>
      </x:c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str">
        <x:v>Активный множитель</x:v>
      </x:c>
      <x:c r="B8" s="16" t="n">
        <x:f>CHOOSE(B5,D7,E7,F7,G7)</x:f>
        <x:v>1.589</x:v>
      </x:c>
      <x:c r="C8" s="7"/>
      <x:c r="D8" s="10"/>
      <x:c r="E8" s="10"/>
      <x:c r="F8" s="10"/>
      <x:c r="G8" s="10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str">
        <x:v>НДС, расчетная ставка</x:v>
      </x:c>
      <x:c r="B9" s="20" t="n">
        <x:f>CHOOSE(B5,D9,E9,F9,G9)</x:f>
        <x:v>0.05</x:v>
      </x:c>
      <x:c r="C9" s="7"/>
      <x:c r="D9" s="10" t="n">
        <x:v>0.05</x:v>
      </x:c>
      <x:c r="E9" s="10" t="n">
        <x:v>0.05</x:v>
      </x:c>
      <x:c r="F9" s="10" t="n">
        <x:v>0.05</x:v>
      </x:c>
      <x:c r="G9" s="10" t="n">
        <x:v>0.05</x:v>
      </x:c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str">
        <x:v>УСН, резерв от выручки без НДС</x:v>
      </x:c>
      <x:c r="B10" s="14" t="n">
        <x:v>0.06</x:v>
      </x:c>
      <x:c r="C10" s="7"/>
      <x:c r="D10" s="7"/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str">
        <x:v>Эквайринг от платежей</x:v>
      </x:c>
      <x:c r="B11" s="14" t="n">
        <x:v>0.02</x:v>
      </x:c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str">
        <x:v>Резерв обновления от выручки без НДС</x:v>
      </x:c>
      <x:c r="B12" s="14" t="n">
        <x:v>0.02</x:v>
      </x:c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str">
        <x:v>Рост цен за год</x:v>
      </x:c>
      <x:c r="B13" s="14" t="n">
        <x:v>0.03</x:v>
      </x:c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str">
        <x:v>Инфляция затрат за год</x:v>
      </x:c>
      <x:c r="B14" s="14" t="n">
        <x:v>0.05</x:v>
      </x:c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str">
        <x:v>Взносы работодателя, бюджетный резерв</x:v>
      </x:c>
      <x:c r="B15" s="14" t="n">
        <x:v>0.302</x:v>
      </x:c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 t="str">
        <x:v>Открыто часов в день</x:v>
      </x:c>
      <x:c r="B16" s="10" t="n">
        <x:v>11</x:v>
      </x:c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 t="str">
        <x:v>Среднее пребывание ребенка, часов</x:v>
      </x:c>
      <x:c r="B17" s="16" t="n">
        <x:f>IF(B5=4,2.5,2.5)</x:f>
        <x:v>2.5</x:v>
      </x:c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Дней работы в месяц</x:v>
      </x:c>
      <x:c r="B18" s="15" t="n">
        <x:v>30</x:v>
      </x:c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 t="str">
        <x:v>Рабочих часов на полную ставку</x:v>
      </x:c>
      <x:c r="B19" s="15" t="n">
        <x:v>168</x:v>
      </x:c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 t="str">
        <x:v>Запас покрытия отпусков / отсутствий</x:v>
      </x:c>
      <x:c r="B20" s="15" t="n">
        <x:v>0.15</x:v>
      </x:c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 t="str">
        <x:v>Открытие и закрытие смены, часов/день</x:v>
      </x:c>
      <x:c r="B21" s="15" t="n">
        <x:v>0.5</x:v>
      </x:c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 t="str">
        <x:v>Покрытие одного поста, FTE</x:v>
      </x:c>
      <x:c r="B22" s="16" t="n">
        <x:f>(B16+B21)*B18/B19*(1+B20)</x:f>
        <x:v>2.3616071428571423</x:v>
      </x:c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 t="str">
        <x:v>Расчетная одновременная вместимость, детей</x:v>
      </x:c>
      <x:c r="B23" s="10" t="n">
        <x:v>30</x:v>
      </x:c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 t="str">
        <x:v>Тариф электричества, ₽/кВт·ч</x:v>
      </x:c>
      <x:c r="B24" s="10" t="n">
        <x:v>9</x:v>
      </x:c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Как читать модель</x:v>
      </x:c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Синие числа — ввод; зеленые формулы — связи листов; черные — расчет.</x:v>
      </x:c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 t="str">
        <x:v>Продажи праздников не включают входные билеты и еду: они учтены отдельно.</x:v>
      </x:c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 t="str">
        <x:v>№</x:v>
      </x:c>
      <x:c r="B30" s="1" t="str">
        <x:v>Зона</x:v>
      </x:c>
      <x:c r="C30" s="7" t="str">
        <x:v>Объем / месяц</x:v>
      </x:c>
      <x:c r="D30" s="7" t="str">
        <x:v>Цена, ₽</x:v>
      </x:c>
      <x:c r="E30" s="7" t="str">
        <x:v>Прямые, доля</x:v>
      </x:c>
      <x:c r="F30" s="7" t="str">
        <x:v>Себест./ед., ₽</x:v>
      </x:c>
      <x:c r="G30" s="7" t="str">
        <x:v>Вес общих затрат</x:v>
      </x:c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 t="n">
        <x:v>1</x:v>
      </x:c>
      <x:c r="B31" s="1" t="str">
        <x:v>Входные билеты и свободная игра</x:v>
      </x:c>
      <x:c r="C31" s="10" t="n">
        <x:v>1800</x:v>
      </x:c>
      <x:c r="D31" s="10" t="n">
        <x:v>700</x:v>
      </x:c>
      <x:c r="E31" s="14" t="n">
        <x:v>0.02</x:v>
      </x:c>
      <x:c r="F31" s="10" t="n">
        <x:v>0</x:v>
      </x:c>
      <x:c r="G31" s="14" t="n">
        <x:v>0.3645833333333333</x:v>
      </x:c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 t="n">
        <x:v>2</x:v>
      </x:c>
      <x:c r="B32" s="1" t="str">
        <x:v>Технологические аттракционы</x:v>
      </x:c>
      <x:c r="C32" s="10" t="n">
        <x:v>400</x:v>
      </x:c>
      <x:c r="D32" s="10" t="n">
        <x:v>150</x:v>
      </x:c>
      <x:c r="E32" s="14" t="n">
        <x:v>0.05</x:v>
      </x:c>
      <x:c r="F32" s="10" t="n">
        <x:v>0</x:v>
      </x:c>
      <x:c r="G32" s="14" t="n">
        <x:v>0.15625</x:v>
      </x:c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 t="n">
        <x:v>3</x:v>
      </x:c>
      <x:c r="B33" s="1" t="str">
        <x:v>Аркады и семейные игры</x:v>
      </x:c>
      <x:c r="C33" s="7" t="n">
        <x:f>C31*$B$67*$B$68</x:f>
        <x:v>3240</x:v>
      </x:c>
      <x:c r="D33" s="7" t="n">
        <x:f>$B$69</x:f>
        <x:v>70</x:v>
      </x:c>
      <x:c r="E33" s="14" t="n">
        <x:v>0.2</x:v>
      </x:c>
      <x:c r="F33" s="10" t="n">
        <x:v>0</x:v>
      </x:c>
      <x:c r="G33" s="14" t="n">
        <x:v>0.125</x:v>
      </x:c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 t="n">
        <x:v>4</x:v>
      </x:c>
      <x:c r="B34" s="1" t="str">
        <x:v>Банкетные комнаты и ведущий</x:v>
      </x:c>
      <x:c r="C34" s="10" t="n">
        <x:v>18</x:v>
      </x:c>
      <x:c r="D34" s="10" t="n">
        <x:v>15000</x:v>
      </x:c>
      <x:c r="E34" s="14" t="n">
        <x:v>0.25</x:v>
      </x:c>
      <x:c r="F34" s="10" t="n">
        <x:v>0</x:v>
      </x:c>
      <x:c r="G34" s="14" t="n">
        <x:v>0.125</x:v>
      </x:c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 t="n">
        <x:v>5</x:v>
      </x:c>
      <x:c r="B35" s="1" t="str">
        <x:v>Кафе и ожидание родителей</x:v>
      </x:c>
      <x:c r="C35" s="10" t="n">
        <x:v>900</x:v>
      </x:c>
      <x:c r="D35" s="10" t="n">
        <x:v>500</x:v>
      </x:c>
      <x:c r="E35" s="14" t="n">
        <x:v>0.35</x:v>
      </x:c>
      <x:c r="F35" s="10" t="n">
        <x:v>0</x:v>
      </x:c>
      <x:c r="G35" s="14" t="n">
        <x:v>0.14583333333333334</x:v>
      </x:c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 t="n">
        <x:v>6</x:v>
      </x:c>
      <x:c r="B36" s="1" t="str">
        <x:v>Платные мастер-классы</x:v>
      </x:c>
      <x:c r="C36" s="10" t="n">
        <x:v>100</x:v>
      </x:c>
      <x:c r="D36" s="10" t="n">
        <x:v>450</x:v>
      </x:c>
      <x:c r="E36" s="14" t="n">
        <x:v>0.3</x:v>
      </x:c>
      <x:c r="F36" s="10" t="n">
        <x:v>0</x:v>
      </x:c>
      <x:c r="G36" s="14" t="n">
        <x:v>0.08333333333333334</x:v>
      </x:c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 t="n">
        <x:v>7</x:v>
      </x:c>
      <x:c r="B37" s="1" t="str">
        <x:v>Нейрофото</x:v>
      </x:c>
      <x:c r="C37" s="10" t="n">
        <x:v>0</x:v>
      </x:c>
      <x:c r="D37" s="10" t="n">
        <x:v>200</x:v>
      </x:c>
      <x:c r="E37" s="14" t="n">
        <x:v>0</x:v>
      </x:c>
      <x:c r="F37" s="10" t="n">
        <x:v>50</x:v>
      </x:c>
      <x:c r="G37" s="14" t="n">
        <x:v>0</x:v>
      </x:c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 t="str">
        <x:v>Месяц</x:v>
      </x:c>
      <x:c r="B41" s="1" t="str">
        <x:v>Сезонность, индекс</x:v>
      </x:c>
      <x:c r="C41" s="7" t="str">
        <x:v>Нормированный индекс</x:v>
      </x:c>
      <x:c r="D41" s="7" t="str">
        <x:v>Разгон посещаемости</x:v>
      </x:c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 t="n">
        <x:v>1</x:v>
      </x:c>
      <x:c r="B42" s="1" t="n">
        <x:v>1.1</x:v>
      </x:c>
      <x:c r="C42" s="16" t="n">
        <x:f>B42/AVERAGE($B$42:$B$53)</x:f>
        <x:v>1.1186440677966103</x:v>
      </x:c>
      <x:c r="D42" s="16" t="n">
        <x:v>0.45</x:v>
      </x:c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 t="n">
        <x:v>2</x:v>
      </x:c>
      <x:c r="B43" s="1" t="n">
        <x:v>1.05</x:v>
      </x:c>
      <x:c r="C43" s="16" t="n">
        <x:f>B43/AVERAGE($B$42:$B$53)</x:f>
        <x:v>1.0677966101694916</x:v>
      </x:c>
      <x:c r="D43" s="16" t="n">
        <x:v>0.55</x:v>
      </x:c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 t="n">
        <x:v>3</x:v>
      </x:c>
      <x:c r="B44" s="1" t="n">
        <x:v>1</x:v>
      </x:c>
      <x:c r="C44" s="16" t="n">
        <x:f>B44/AVERAGE($B$42:$B$53)</x:f>
        <x:v>1.0169491525423728</x:v>
      </x:c>
      <x:c r="D44" s="16" t="n">
        <x:v>0.65</x:v>
      </x:c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 t="n">
        <x:v>4</x:v>
      </x:c>
      <x:c r="B45" s="1" t="n">
        <x:v>0.9</x:v>
      </x:c>
      <x:c r="C45" s="16" t="n">
        <x:f>B45/AVERAGE($B$42:$B$53)</x:f>
        <x:v>0.9152542372881356</x:v>
      </x:c>
      <x:c r="D45" s="16" t="n">
        <x:v>0.75</x:v>
      </x:c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 t="n">
        <x:v>5</x:v>
      </x:c>
      <x:c r="B46" s="1" t="n">
        <x:v>0.85</x:v>
      </x:c>
      <x:c r="C46" s="16" t="n">
        <x:f>B46/AVERAGE($B$42:$B$53)</x:f>
        <x:v>0.8644067796610169</x:v>
      </x:c>
      <x:c r="D46" s="16" t="n">
        <x:v>0.85</x:v>
      </x:c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 t="n">
        <x:v>6</x:v>
      </x:c>
      <x:c r="B47" s="1" t="n">
        <x:v>0.7</x:v>
      </x:c>
      <x:c r="C47" s="16" t="n">
        <x:f>B47/AVERAGE($B$42:$B$53)</x:f>
        <x:v>0.7118644067796609</x:v>
      </x:c>
      <x:c r="D47" s="16" t="n">
        <x:v>0.9</x:v>
      </x:c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 t="n">
        <x:v>7</x:v>
      </x:c>
      <x:c r="B48" s="1" t="n">
        <x:v>0.75</x:v>
      </x:c>
      <x:c r="C48" s="16" t="n">
        <x:f>B48/AVERAGE($B$42:$B$53)</x:f>
        <x:v>0.7627118644067796</x:v>
      </x:c>
      <x:c r="D48" s="16" t="n">
        <x:v>0.95</x:v>
      </x:c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 t="n">
        <x:v>8</x:v>
      </x:c>
      <x:c r="B49" s="1" t="n">
        <x:v>0.8</x:v>
      </x:c>
      <x:c r="C49" s="16" t="n">
        <x:f>B49/AVERAGE($B$42:$B$53)</x:f>
        <x:v>0.8135593220338982</x:v>
      </x:c>
      <x:c r="D49" s="16" t="n">
        <x:v>1</x:v>
      </x:c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 t="n">
        <x:v>9</x:v>
      </x:c>
      <x:c r="B50" s="1" t="n">
        <x:v>1.05</x:v>
      </x:c>
      <x:c r="C50" s="16" t="n">
        <x:f>B50/AVERAGE($B$42:$B$53)</x:f>
        <x:v>1.0677966101694916</x:v>
      </x:c>
      <x:c r="D50" s="16" t="n">
        <x:v>1</x:v>
      </x:c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 t="n">
        <x:v>10</x:v>
      </x:c>
      <x:c r="B51" s="1" t="n">
        <x:v>1.15</x:v>
      </x:c>
      <x:c r="C51" s="16" t="n">
        <x:f>B51/AVERAGE($B$42:$B$53)</x:f>
        <x:v>1.1694915254237286</x:v>
      </x:c>
      <x:c r="D51" s="16" t="n">
        <x:v>1</x:v>
      </x:c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 t="n">
        <x:v>11</x:v>
      </x:c>
      <x:c r="B52" s="1" t="n">
        <x:v>1.2</x:v>
      </x:c>
      <x:c r="C52" s="16" t="n">
        <x:f>B52/AVERAGE($B$42:$B$53)</x:f>
        <x:v>1.2203389830508473</x:v>
      </x:c>
      <x:c r="D52" s="16" t="n">
        <x:v>1</x:v>
      </x:c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 t="n">
        <x:v>12</x:v>
      </x:c>
      <x:c r="B53" s="1" t="n">
        <x:v>1.25</x:v>
      </x:c>
      <x:c r="C53" s="16" t="n">
        <x:f>B53/AVERAGE($B$42:$B$53)</x:f>
        <x:v>1.271186440677966</x:v>
      </x:c>
      <x:c r="D53" s="16" t="n">
        <x:v>1</x:v>
      </x:c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 t="str">
        <x:v>Ограничения</x:v>
      </x:c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 t="str">
        <x:v>М1 условно январь. Для другой даты открытия перенесите сезонность, сохранив средний индекс 1.</x:v>
      </x:c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 t="str">
        <x:v>Налоги — консервативный резерв для сравнения; налоговый режим проверяется для юридического лица и года запуска.</x:v>
      </x:c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 t="str">
        <x:v>Зарплаты — бюджетные ориентиры для города 300 тыс. жителей, не исследование рынка вакансий.</x:v>
      </x:c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 t="str">
        <x:v>Все продажи, аренда, ставки и сроки нуждаются в локальной проверке до инвестирования.</x:v>
      </x:c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 t="str">
        <x:v>Сценарий 4 решает обратную задачу окупаемости; требуемый спрос не подтвержден рынком.</x:v>
      </x:c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 t="str">
        <x:v>100 м²: целевой сценарий требует сеансов в среднем 90 минут и бронирования по времени.</x:v>
      </x:c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 t="str">
        <x:v>Оплаченная игра на человека, минут</x:v>
      </x:c>
      <x:c r="B65" s="12" t="n">
        <x:v>3</x:v>
      </x:c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 t="str">
        <x:v>Смена игроков, минут</x:v>
      </x:c>
      <x:c r="B66" s="12" t="n">
        <x:v>1</x:v>
      </x:c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 t="str">
        <x:v>Доля семей, оплачивающих аркады</x:v>
      </x:c>
      <x:c r="B67" s="14" t="n">
        <x:v>0.5</x:v>
      </x:c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 t="str">
        <x:v>Игрок-сеансов на платившую семью</x:v>
      </x:c>
      <x:c r="B68" s="15" t="n">
        <x:v>3.6</x:v>
      </x:c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 t="str">
        <x:v>Цена одного игрока за 3 минуты, ₽</x:v>
      </x:c>
      <x:c r="B69" s="12" t="n">
        <x:v>70</x:v>
      </x:c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 t="str">
        <x:v>Рабочая доступность, доля</x:v>
      </x:c>
      <x:c r="B70" s="14" t="n">
        <x:v>0.95</x:v>
      </x:c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 t="str">
        <x:v>Источник ставки</x:v>
      </x:c>
      <x:c r="B71" s="1" t="str">
        <x:v>Указание владельца 24.10.2026</x:v>
      </x:c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dataValidations count="1">
    <x:dataValidation type="list" sqref="B5">
      <x:formula1>"1,2,3,4"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48" hidden="0" customWidth="1"/>
    <x:col min="9" max="9" width="48" hidden="0" customWidth="1"/>
    <x:col min="10" max="10" width="4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RR-FEC-250 | Оборудование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Код</x:v>
      </x:c>
      <x:c r="B6" s="25" t="str">
        <x:v>Оборудование RR</x:v>
      </x:c>
      <x:c r="C6" s="24" t="str">
        <x:v>Кол-во</x:v>
      </x:c>
      <x:c r="D6" s="24" t="str">
        <x:v>Цена, ₽</x:v>
      </x:c>
      <x:c r="E6" s="24" t="str">
        <x:v>Сумма, ₽</x:v>
      </x:c>
      <x:c r="F6" s="24" t="str">
        <x:v>кВт/ед.</x:v>
      </x:c>
      <x:c r="G6" s="24" t="str">
        <x:v>Всего кВт</x:v>
      </x:c>
      <x:c r="H6" s="24" t="str">
        <x:v>Статус мощности</x:v>
      </x:c>
      <x:c r="I6" s="24" t="str">
        <x:v>Карточка товара</x:v>
      </x:c>
      <x:c r="J6" s="24" t="str">
        <x:v>Примечание</x:v>
      </x:c>
      <x:c r="K6" s="24" t="str">
        <x:v>Код зоны</x:v>
      </x:c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38" customHeight="1">
      <x:c r="A7" s="1" t="str">
        <x:v>M2</x:v>
      </x:c>
      <x:c r="B7" s="28" t="str">
        <x:v>Лабиринт «Фазенда»</x:v>
      </x:c>
      <x:c r="C7" s="10" t="n">
        <x:v>1</x:v>
      </x:c>
      <x:c r="D7" s="10" t="n">
        <x:v>870000</x:v>
      </x:c>
      <x:c r="E7" s="7" t="n">
        <x:f>C7*D7</x:f>
        <x:v>870000</x:v>
      </x:c>
      <x:c r="F7" s="19" t="n">
        <x:v>0</x:v>
      </x:c>
      <x:c r="G7" s="18" t="n">
        <x:f>C7*F7</x:f>
        <x:v>0</x:v>
      </x:c>
      <x:c r="H7" s="28" t="str">
        <x:v>Пассивный</x:v>
      </x:c>
      <x:c r="I7" s="28" t="str">
        <x:v>https://robotail.ru/product/detskiy-igrovoy-labirint-fazenzha-32375m-9253528m</x:v>
      </x:c>
      <x:c r="J7" s="28" t="str"/>
      <x:c r="K7" s="7" t="n">
        <x:v>0</x:v>
      </x:c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38" customHeight="1">
      <x:c r="A8" s="1" t="str">
        <x:v>W1</x:v>
      </x:c>
      <x:c r="B8" s="28" t="str">
        <x:v>Проектор настенный NEW</x:v>
      </x:c>
      <x:c r="C8" s="10" t="n">
        <x:v>1</x:v>
      </x:c>
      <x:c r="D8" s="10" t="n">
        <x:v>189000</x:v>
      </x:c>
      <x:c r="E8" s="7" t="n">
        <x:f>C8*D8</x:f>
        <x:v>189000</x:v>
      </x:c>
      <x:c r="F8" s="19" t="n">
        <x:v>0.8</x:v>
      </x:c>
      <x:c r="G8" s="18" t="n">
        <x:f>C8*F8</x:f>
        <x:v>0.8</x:v>
      </x:c>
      <x:c r="H8" s="28" t="str">
        <x:v>Расчетный резерв</x:v>
      </x:c>
      <x:c r="I8" s="28" t="str">
        <x:v>https://robotail.ru/product/interaktivnyy-proektor-nastennyy-new-maksimalnaya-komplektatsiya</x:v>
      </x:c>
      <x:c r="J8" s="28" t="str">
        <x:v>Габарит на плане — игровая зона, не корпус. Монтаж по оптике проектора.</x:v>
      </x:c>
      <x:c r="K8" s="7" t="n">
        <x:v>1</x:v>
      </x:c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38" customHeight="1">
      <x:c r="A9" s="1" t="str">
        <x:v>F1</x:v>
      </x:c>
      <x:c r="B9" s="28" t="str">
        <x:v>Проектор напольный Max</x:v>
      </x:c>
      <x:c r="C9" s="10" t="n">
        <x:v>1</x:v>
      </x:c>
      <x:c r="D9" s="10" t="n">
        <x:v>210000</x:v>
      </x:c>
      <x:c r="E9" s="7" t="n">
        <x:f>C9*D9</x:f>
        <x:v>210000</x:v>
      </x:c>
      <x:c r="F9" s="19" t="n">
        <x:v>0.8</x:v>
      </x:c>
      <x:c r="G9" s="18" t="n">
        <x:f>C9*F9</x:f>
        <x:v>0.8</x:v>
      </x:c>
      <x:c r="H9" s="28" t="str">
        <x:v>Расчетный резерв</x:v>
      </x:c>
      <x:c r="I9" s="28" t="str">
        <x:v>https://robotail.ru/product/interaktivnyy-proektor-napolnyy-maksimalnaya-komplektatsiya</x:v>
      </x:c>
      <x:c r="J9" s="28" t="str">
        <x:v>Габарит — игровое поле. ПК и крепеж учтены в комплекте.</x:v>
      </x:c>
      <x:c r="K9" s="7" t="n">
        <x:v>1</x:v>
      </x:c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38" customHeight="1">
      <x:c r="A10" s="1" t="str">
        <x:v>C1</x:v>
      </x:c>
      <x:c r="B10" s="28" t="str">
        <x:v>Шахматный робот Chess</x:v>
      </x:c>
      <x:c r="C10" s="10" t="n">
        <x:v>1</x:v>
      </x:c>
      <x:c r="D10" s="10" t="n">
        <x:v>149000</x:v>
      </x:c>
      <x:c r="E10" s="7" t="n">
        <x:f>C10*D10</x:f>
        <x:v>149000</x:v>
      </x:c>
      <x:c r="F10" s="19" t="n">
        <x:v>0.05</x:v>
      </x:c>
      <x:c r="G10" s="18" t="n">
        <x:f>C10*F10</x:f>
        <x:v>0.05</x:v>
      </x:c>
      <x:c r="H10" s="28" t="str">
        <x:v>Расчетный резерв</x:v>
      </x:c>
      <x:c r="I10" s="28" t="str">
        <x:v>https://robotail.ru/product/shahmatnyy-robot-chess</x:v>
      </x:c>
      <x:c r="J10" s="28" t="str">
        <x:v>На столе в кафе, отдельная выручка не начисляется.</x:v>
      </x:c>
      <x:c r="K10" s="7" t="n">
        <x:v>4</x:v>
      </x:c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38" customHeight="1">
      <x:c r="A11" s="1" t="str">
        <x:v>B1</x:v>
      </x:c>
      <x:c r="B11" s="28" t="str">
        <x:v>Сухой бассейн «Лягушонок» 1,2 м</x:v>
      </x:c>
      <x:c r="C11" s="10" t="n">
        <x:v>1</x:v>
      </x:c>
      <x:c r="D11" s="10" t="n">
        <x:v>20580</x:v>
      </x:c>
      <x:c r="E11" s="7" t="n">
        <x:f>C11*D11</x:f>
        <x:v>20580</x:v>
      </x:c>
      <x:c r="F11" s="19" t="n">
        <x:v>0</x:v>
      </x:c>
      <x:c r="G11" s="18" t="n">
        <x:f>C11*F11</x:f>
        <x:v>0</x:v>
      </x:c>
      <x:c r="H11" s="28" t="str">
        <x:v>Пассивный</x:v>
      </x:c>
      <x:c r="I11" s="28" t="str">
        <x:v>https://robotail.ru/product/basseyn-kvadratnyy-lyagushonok-razbornyy-120h120h40-sm</x:v>
      </x:c>
      <x:c r="J11" s="28" t="str">
        <x:v>Выбран первый вариант 120×120×40 см.</x:v>
      </x:c>
      <x:c r="K11" s="7" t="n">
        <x:v>0</x:v>
      </x:c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38" customHeight="1">
      <x:c r="A12" s="1" t="str">
        <x:v>S1</x:v>
      </x:c>
      <x:c r="B12" s="28" t="str">
        <x:v>Мягкий конструктор «Форт», 17 элементов</x:v>
      </x:c>
      <x:c r="C12" s="10" t="n">
        <x:v>2</x:v>
      </x:c>
      <x:c r="D12" s="10" t="n">
        <x:v>17900</x:v>
      </x:c>
      <x:c r="E12" s="7" t="n">
        <x:f>C12*D12</x:f>
        <x:v>35800</x:v>
      </x:c>
      <x:c r="F12" s="19" t="n">
        <x:v>0</x:v>
      </x:c>
      <x:c r="G12" s="18" t="n">
        <x:f>C12*F12</x:f>
        <x:v>0</x:v>
      </x:c>
      <x:c r="H12" s="28" t="str">
        <x:v>Пассивный</x:v>
      </x:c>
      <x:c r="I12" s="28" t="str">
        <x:v>https://robotail.ru/product/detskie-moduli-konstruktor-fort-17-el</x:v>
      </x:c>
      <x:c r="J12" s="28" t="str">
        <x:v>2×2 м — зона игры, не габарит упаковки; наборы хранятся в стеллаже и выдаются поочередно.</x:v>
      </x:c>
      <x:c r="K12" s="7" t="n">
        <x:v>0</x:v>
      </x:c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38" customHeight="1">
      <x:c r="A13" s="1" t="str">
        <x:v>B3</x:v>
      </x:c>
      <x:c r="B13" s="28" t="str">
        <x:v>Шарики для бассейна 70 мм, дополнительный запас</x:v>
      </x:c>
      <x:c r="C13" s="10" t="n">
        <x:v>2000</x:v>
      </x:c>
      <x:c r="D13" s="10" t="n">
        <x:v>6</x:v>
      </x:c>
      <x:c r="E13" s="7" t="n">
        <x:f>C13*D13</x:f>
        <x:v>12000</x:v>
      </x:c>
      <x:c r="F13" s="19" t="n">
        <x:v>0</x:v>
      </x:c>
      <x:c r="G13" s="18" t="n">
        <x:f>C13*F13</x:f>
        <x:v>0</x:v>
      </x:c>
      <x:c r="H13" s="28" t="str">
        <x:v>Пассивный</x:v>
      </x:c>
      <x:c r="I13" s="28" t="str">
        <x:v>https://robotail.ru/product/shariki-dlya-suhogo-basseyna-70-mm-2</x:v>
      </x:c>
      <x:c r="J13" s="28" t="str">
        <x:v>Количество предварительное. Исключить дубли с шарами из комплектации лабиринта по итоговой ведомости.</x:v>
      </x:c>
      <x:c r="K13" s="7" t="n">
        <x:v>0</x:v>
      </x:c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38" customHeight="1">
      <x:c r="A14" s="1" t="str">
        <x:v>A1</x:v>
      </x:c>
      <x:c r="B14" s="28" t="str">
        <x:v>Аркада «4 в ряд 2.0», базовая</x:v>
      </x:c>
      <x:c r="C14" s="10" t="n">
        <x:v>1</x:v>
      </x:c>
      <x:c r="D14" s="10" t="n">
        <x:v>362000</x:v>
      </x:c>
      <x:c r="E14" s="7" t="n">
        <x:f>C14*D14</x:f>
        <x:v>362000</x:v>
      </x:c>
      <x:c r="F14" s="19" t="n">
        <x:v>0.13</x:v>
      </x:c>
      <x:c r="G14" s="18" t="n">
        <x:f>C14*F14</x:f>
        <x:v>0.13</x:v>
      </x:c>
      <x:c r="H14" s="28" t="str">
        <x:v>130 Вт по сайту</x:v>
      </x:c>
      <x:c r="I14" s="28" t="str">
        <x:v>https://robotail.ru/product/prizovoy-arkadnyy-avtomat-4-v-ryad-20</x:v>
      </x:c>
      <x:c r="J14" s="28" t="str">
        <x:v>Без витрины. В проекте только режим навыка и прозрачные баллы, без денежных призов.</x:v>
      </x:c>
      <x:c r="K14" s="7" t="n">
        <x:v>2</x:v>
      </x:c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38" customHeight="1">
      <x:c r="A15" s="1" t="str">
        <x:v>A2</x:v>
      </x:c>
      <x:c r="B15" s="28" t="str">
        <x:v>Retro Games «Комиксы»</x:v>
      </x:c>
      <x:c r="C15" s="10" t="n">
        <x:v>1</x:v>
      </x:c>
      <x:c r="D15" s="10" t="n">
        <x:v>145600</x:v>
      </x:c>
      <x:c r="E15" s="7" t="n">
        <x:f>C15*D15</x:f>
        <x:v>145600</x:v>
      </x:c>
      <x:c r="F15" s="19" t="n">
        <x:v>0.15</x:v>
      </x:c>
      <x:c r="G15" s="18" t="n">
        <x:f>C15*F15</x:f>
        <x:v>0.15</x:v>
      </x:c>
      <x:c r="H15" s="28" t="str">
        <x:v>150 Вт по сайту</x:v>
      </x:c>
      <x:c r="I15" s="28" t="str">
        <x:v>https://robotail.ru/product/retro-games-komiksy-arkadnyy-avtomat</x:v>
      </x:c>
      <x:c r="J15" s="28" t="str">
        <x:v>7+ по карточке.</x:v>
      </x:c>
      <x:c r="K15" s="7" t="n">
        <x:v>2</x:v>
      </x:c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38" customHeight="1">
      <x:c r="A16" s="1" t="str">
        <x:v>A6</x:v>
      </x:c>
      <x:c r="B16" s="28" t="str">
        <x:v>Сапер с подсветкой</x:v>
      </x:c>
      <x:c r="C16" s="10" t="n">
        <x:v>1</x:v>
      </x:c>
      <x:c r="D16" s="10" t="n">
        <x:v>53800</x:v>
      </x:c>
      <x:c r="E16" s="7" t="n">
        <x:f>C16*D16</x:f>
        <x:v>53800</x:v>
      </x:c>
      <x:c r="F16" s="19" t="n">
        <x:v>0.01</x:v>
      </x:c>
      <x:c r="G16" s="18" t="n">
        <x:f>C16*F16</x:f>
        <x:v>0.01</x:v>
      </x:c>
      <x:c r="H16" s="28" t="str">
        <x:v>10 Вт по сайту</x:v>
      </x:c>
      <x:c r="I16" s="28" t="str">
        <x:v>https://robotail.ru/product/attraktsion-zummer-s-podsvetkoy</x:v>
      </x:c>
      <x:c r="J16" s="28" t="str"/>
      <x:c r="K16" s="7" t="n">
        <x:v>2</x:v>
      </x:c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38" customHeight="1">
      <x:c r="A17" s="1" t="str">
        <x:v>N1</x:v>
      </x:c>
      <x:c r="B17" s="28" t="str">
        <x:v>Детский игровой автомат колотушка «Миссис Хэппи»</x:v>
      </x:c>
      <x:c r="C17" s="10" t="n">
        <x:v>1</x:v>
      </x:c>
      <x:c r="D17" s="10" t="n">
        <x:v>85000</x:v>
      </x:c>
      <x:c r="E17" s="7" t="n">
        <x:f>C17*D17</x:f>
        <x:v>85000</x:v>
      </x:c>
      <x:c r="F17" s="19" t="n">
        <x:v>0.15</x:v>
      </x:c>
      <x:c r="G17" s="18" t="n">
        <x:f>C17*F17</x:f>
        <x:v>0.15</x:v>
      </x:c>
      <x:c r="H17" s="28" t="str">
        <x:v>Расчётный резерв: мощность не опубликована</x:v>
      </x:c>
      <x:c r="I17" s="28" t="str">
        <x:v>https://robotail.ru/product/kolotushka-detskiy-igrovoy-avtomat-happy</x:v>
      </x:c>
      <x:c r="J17" s="28" t="str">
        <x:v>Возраст от 2 лет по карточке. Рабочий габарит — предварительный резерв, подтвердить паспортом.</x:v>
      </x:c>
      <x:c r="K17" s="7" t="n">
        <x:v>2</x:v>
      </x:c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38" customHeight="1">
      <x:c r="A18" s="1" t="str">
        <x:v>N2</x:v>
      </x:c>
      <x:c r="B18" s="28" t="str">
        <x:v>Детский автомат с видеоигрой 20 в 1 «Робот»</x:v>
      </x:c>
      <x:c r="C18" s="10" t="n">
        <x:v>1</x:v>
      </x:c>
      <x:c r="D18" s="10" t="n">
        <x:v>145000</x:v>
      </x:c>
      <x:c r="E18" s="7" t="n">
        <x:f>C18*D18</x:f>
        <x:v>145000</x:v>
      </x:c>
      <x:c r="F18" s="19" t="n">
        <x:v>0.15</x:v>
      </x:c>
      <x:c r="G18" s="18" t="n">
        <x:f>C18*F18</x:f>
        <x:v>0.15</x:v>
      </x:c>
      <x:c r="H18" s="28" t="str">
        <x:v>150 Вт по карточке</x:v>
      </x:c>
      <x:c r="I18" s="28" t="str">
        <x:v>https://robotail.ru/product/robot-detskiy-avtomat-s-videoigroy-20-v-1</x:v>
      </x:c>
      <x:c r="J18" s="28" t="str">
        <x:v>Возраст от 3 лет по карточке. Рабочий габарит — предварительный резерв, подтвердить паспортом.</x:v>
      </x:c>
      <x:c r="K18" s="7" t="n">
        <x:v>2</x:v>
      </x:c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38" customHeight="1">
      <x:c r="A19" s="1" t="str">
        <x:v>N3</x:v>
      </x:c>
      <x:c r="B19" s="28" t="str">
        <x:v>Детский силомер боксер «Rocky Boxer» Junior</x:v>
      </x:c>
      <x:c r="C19" s="10" t="n">
        <x:v>1</x:v>
      </x:c>
      <x:c r="D19" s="10" t="n">
        <x:v>200000</x:v>
      </x:c>
      <x:c r="E19" s="7" t="n">
        <x:f>C19*D19</x:f>
        <x:v>200000</x:v>
      </x:c>
      <x:c r="F19" s="19" t="n">
        <x:v>0.1</x:v>
      </x:c>
      <x:c r="G19" s="18" t="n">
        <x:f>C19*F19</x:f>
        <x:v>0.1</x:v>
      </x:c>
      <x:c r="H19" s="28" t="str">
        <x:v>100 Вт по карточке</x:v>
      </x:c>
      <x:c r="I19" s="28" t="str">
        <x:v>https://robotail.ru/product/silomer-bokser-rocky-boxer-junior</x:v>
      </x:c>
      <x:c r="J19" s="28" t="str">
        <x:v>Возраст от 5 лет по карточке. Рабочий габарит — предварительный резерв, подтвердить паспортом.</x:v>
      </x:c>
      <x:c r="K19" s="7" t="n">
        <x:v>2</x:v>
      </x:c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38" customHeight="1">
      <x:c r="A20" s="1" t="str">
        <x:v>N4</x:v>
      </x:c>
      <x:c r="B20" s="28" t="str">
        <x:v>Детский автомат гонка для двоих «Трансформер»</x:v>
      </x:c>
      <x:c r="C20" s="10" t="n">
        <x:v>1</x:v>
      </x:c>
      <x:c r="D20" s="10" t="n">
        <x:v>115000</x:v>
      </x:c>
      <x:c r="E20" s="7" t="n">
        <x:f>C20*D20</x:f>
        <x:v>115000</x:v>
      </x:c>
      <x:c r="F20" s="19" t="n">
        <x:v>0.04</x:v>
      </x:c>
      <x:c r="G20" s="18" t="n">
        <x:f>C20*F20</x:f>
        <x:v>0.04</x:v>
      </x:c>
      <x:c r="H20" s="28" t="str">
        <x:v>40 Вт по карточке</x:v>
      </x:c>
      <x:c r="I20" s="28" t="str">
        <x:v>https://robotail.ru/product/detskiy-avtomat-gonka-dlya-dvoih-transformers</x:v>
      </x:c>
      <x:c r="J20" s="28" t="str">
        <x:v>Комплектация: Базовый вариант. Рабочий габарит — предварительный резерв, подтвердить паспортом.</x:v>
      </x:c>
      <x:c r="K20" s="7" t="n">
        <x:v>2</x:v>
      </x:c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38" customHeight="1">
      <x:c r="A21" s="1" t="str">
        <x:v>N5</x:v>
      </x:c>
      <x:c r="B21" s="28" t="str">
        <x:v>Детский автомат стрелялка для двоих «Трансформер»</x:v>
      </x:c>
      <x:c r="C21" s="10" t="n">
        <x:v>1</x:v>
      </x:c>
      <x:c r="D21" s="10" t="n">
        <x:v>115000</x:v>
      </x:c>
      <x:c r="E21" s="7" t="n">
        <x:f>C21*D21</x:f>
        <x:v>115000</x:v>
      </x:c>
      <x:c r="F21" s="19" t="n">
        <x:v>0.04</x:v>
      </x:c>
      <x:c r="G21" s="18" t="n">
        <x:f>C21*F21</x:f>
        <x:v>0.04</x:v>
      </x:c>
      <x:c r="H21" s="28" t="str">
        <x:v>40 Вт по карточке</x:v>
      </x:c>
      <x:c r="I21" s="28" t="str">
        <x:v>https://robotail.ru/product/detskiy-avtomat-strelyalka-dlya-dvoih-transformers</x:v>
      </x:c>
      <x:c r="J21" s="28" t="str">
        <x:v>Комплектация: Базовый вариант. Рабочий габарит — предварительный резерв, подтвердить паспортом.</x:v>
      </x:c>
      <x:c r="K21" s="7" t="n">
        <x:v>2</x:v>
      </x:c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38" customHeight="1">
      <x:c r="A22" s="1" t="str">
        <x:v>N9</x:v>
      </x:c>
      <x:c r="B22" s="28" t="str">
        <x:v>Баскетбол «Energy»</x:v>
      </x:c>
      <x:c r="C22" s="10" t="n">
        <x:v>1</x:v>
      </x:c>
      <x:c r="D22" s="10" t="n">
        <x:v>352700</x:v>
      </x:c>
      <x:c r="E22" s="7" t="n">
        <x:f>C22*D22</x:f>
        <x:v>352700</x:v>
      </x:c>
      <x:c r="F22" s="19" t="n">
        <x:v>0.1</x:v>
      </x:c>
      <x:c r="G22" s="18" t="n">
        <x:f>C22*F22</x:f>
        <x:v>0.1</x:v>
      </x:c>
      <x:c r="H22" s="28" t="str">
        <x:v>100 Вт по карточке</x:v>
      </x:c>
      <x:c r="I22" s="28" t="str">
        <x:v>https://robotail.ru/product/attraktsion-basketbol</x:v>
      </x:c>
      <x:c r="J22" s="28" t="str">
        <x:v>Комплектация: Lucky / Коммерческий / Есть. Рабочий габарит — предварительный резерв, подтвердить паспортом.</x:v>
      </x:c>
      <x:c r="K22" s="7" t="n">
        <x:v>2</x:v>
      </x:c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38" customHeight="1">
      <x:c r="A23" s="1" t="str">
        <x:v>N10</x:v>
      </x:c>
      <x:c r="B23" s="28" t="str">
        <x:v>Аэрохоккей «Ледяная битва» (220 х 133 х 175 см)</x:v>
      </x:c>
      <x:c r="C23" s="10" t="n">
        <x:v>1</x:v>
      </x:c>
      <x:c r="D23" s="10" t="n">
        <x:v>380000</x:v>
      </x:c>
      <x:c r="E23" s="7" t="n">
        <x:f>C23*D23</x:f>
        <x:v>380000</x:v>
      </x:c>
      <x:c r="F23" s="19" t="n">
        <x:v>0.36</x:v>
      </x:c>
      <x:c r="G23" s="18" t="n">
        <x:f>C23*F23</x:f>
        <x:v>0.36</x:v>
      </x:c>
      <x:c r="H23" s="28" t="str">
        <x:v>360 Вт по карточке</x:v>
      </x:c>
      <x:c r="I23" s="28" t="str">
        <x:v>https://robotail.ru/product/aerohokkey-meteor-premium-7-futov-220-h-130-h-172-sm</x:v>
      </x:c>
      <x:c r="J23" s="28" t="str">
        <x:v>Комплектация: Базовый вариант. Рабочий габарит — предварительный резерв, подтвердить паспортом.</x:v>
      </x:c>
      <x:c r="K23" s="7" t="n">
        <x:v>2</x:v>
      </x:c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38" customHeight="1">
      <x:c r="A24" s="1"/>
      <x:c r="B24" s="28" t="str">
        <x:v>ИТОГО</x:v>
      </x:c>
      <x:c r="C24" s="7"/>
      <x:c r="D24" s="7"/>
      <x:c r="E24" s="7" t="n">
        <x:f>SUM(E7:E23)</x:f>
        <x:v>3440480</x:v>
      </x:c>
      <x:c r="F24" s="18"/>
      <x:c r="G24" s="18" t="n">
        <x:f>SUM(G7:G23)</x:f>
        <x:v>2.8800000000000003</x:v>
      </x:c>
      <x:c r="H24" s="28"/>
      <x:c r="I24" s="28"/>
      <x:c r="J24" s="28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/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/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RR-FEC-250 | Персонал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Должность</x:v>
      </x:c>
      <x:c r="C6" s="24" t="str">
        <x:v>FTE, ставок</x:v>
      </x:c>
      <x:c r="D6" s="24" t="str">
        <x:v>Оклад gross, ₽</x:v>
      </x:c>
      <x:c r="E6" s="24" t="str">
        <x:v>ФОТ gross, ₽</x:v>
      </x:c>
      <x:c r="F6" s="24" t="str">
        <x:v>Постов одновременно</x:v>
      </x:c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n">
        <x:v>1</x:v>
      </x:c>
      <x:c r="B7" s="7" t="str">
        <x:v>Администратор / касса</x:v>
      </x:c>
      <x:c r="C7" s="17" t="n">
        <x:f>F7*ROUND('Допущения'!$B$22,2)</x:f>
        <x:v>2.36</x:v>
      </x:c>
      <x:c r="D7" s="10" t="n">
        <x:v>45000</x:v>
      </x:c>
      <x:c r="E7" s="7" t="n">
        <x:f>C7*D7</x:f>
        <x:v>106200</x:v>
      </x:c>
      <x:c r="F7" s="7" t="n">
        <x:v>1</x:v>
      </x:c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n">
        <x:v>2</x:v>
      </x:c>
      <x:c r="B8" s="7" t="str">
        <x:v>Оператор игровых зон</x:v>
      </x:c>
      <x:c r="C8" s="17" t="n">
        <x:f>F8*ROUND('Допущения'!$B$22,2)</x:f>
        <x:v>7.08</x:v>
      </x:c>
      <x:c r="D8" s="10" t="n">
        <x:v>45000</x:v>
      </x:c>
      <x:c r="E8" s="7" t="n">
        <x:f>C8*D8</x:f>
        <x:v>318600</x:v>
      </x:c>
      <x:c r="F8" s="7" t="n">
        <x:v>3</x:v>
      </x:c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n">
        <x:v>3</x:v>
      </x:c>
      <x:c r="B9" s="7" t="str">
        <x:v>Бариста / работник кафе</x:v>
      </x:c>
      <x:c r="C9" s="17" t="n">
        <x:f>F9*ROUND('Допущения'!$B$22,2)</x:f>
        <x:v>2.36</x:v>
      </x:c>
      <x:c r="D9" s="10" t="n">
        <x:v>45000</x:v>
      </x:c>
      <x:c r="E9" s="7" t="n">
        <x:f>C9*D9</x:f>
        <x:v>106200</x:v>
      </x:c>
      <x:c r="F9" s="7" t="n">
        <x:v>1</x:v>
      </x:c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n">
        <x:v>4</x:v>
      </x:c>
      <x:c r="B10" s="7" t="str">
        <x:v>Управляющий / старший смены</x:v>
      </x:c>
      <x:c r="C10" s="15" t="n">
        <x:v>1</x:v>
      </x:c>
      <x:c r="D10" s="10" t="n">
        <x:v>75000</x:v>
      </x:c>
      <x:c r="E10" s="7" t="n">
        <x:f>C10*D10</x:f>
        <x:v>75000</x:v>
      </x:c>
      <x:c r="F10" s="7" t="n">
        <x:v>0</x:v>
      </x:c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n">
        <x:v>5</x:v>
      </x:c>
      <x:c r="B11" s="7" t="str">
        <x:v>Уборщик</x:v>
      </x:c>
      <x:c r="C11" s="15" t="n">
        <x:v>1</x:v>
      </x:c>
      <x:c r="D11" s="10" t="n">
        <x:v>38000</x:v>
      </x:c>
      <x:c r="E11" s="7" t="n">
        <x:f>C11*D11</x:f>
        <x:v>38000</x:v>
      </x:c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n">
        <x:v>6</x:v>
      </x:c>
      <x:c r="B12" s="7" t="str">
        <x:v>Техник</x:v>
      </x:c>
      <x:c r="C12" s="15" t="n">
        <x:v>0.6</x:v>
      </x:c>
      <x:c r="D12" s="10" t="n">
        <x:v>70000</x:v>
      </x:c>
      <x:c r="E12" s="7" t="n">
        <x:f>C12*D12</x:f>
        <x:v>42000</x:v>
      </x:c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n">
        <x:v>7</x:v>
      </x:c>
      <x:c r="B13" s="7" t="str">
        <x:v>Аниматор / ведущий</x:v>
      </x:c>
      <x:c r="C13" s="15" t="n">
        <x:v>0.6</x:v>
      </x:c>
      <x:c r="D13" s="10" t="n">
        <x:v>50000</x:v>
      </x:c>
      <x:c r="E13" s="7" t="n">
        <x:f>C13*D13</x:f>
        <x:v>30000</x:v>
      </x:c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n">
        <x:v>8</x:v>
      </x:c>
      <x:c r="B14" s="7" t="str">
        <x:v>Маркетолог, частичная занятость</x:v>
      </x:c>
      <x:c r="C14" s="15" t="n">
        <x:v>0.15</x:v>
      </x:c>
      <x:c r="D14" s="10" t="n">
        <x:v>60000</x:v>
      </x:c>
      <x:c r="E14" s="7" t="n">
        <x:f>C14*D14</x:f>
        <x:v>9000</x:v>
      </x:c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 t="str">
        <x:v>ИТОГО ставок / ФОТ</x:v>
      </x:c>
      <x:c r="C15" s="16" t="n">
        <x:f>SUM(C7:C14)</x:f>
        <x:v>15.149999999999999</x:v>
      </x:c>
      <x:c r="D15" s="7"/>
      <x:c r="E15" s="7" t="n">
        <x:f>SUM(E7:E14)</x:f>
        <x:v>725000</x:v>
      </x:c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 t="str">
        <x:v>С резервом взносов</x:v>
      </x:c>
      <x:c r="C16" s="7"/>
      <x:c r="D16" s="7"/>
      <x:c r="E16" s="9" t="n">
        <x:f>E15*(1+'Допущения'!B15)</x:f>
        <x:v>943950</x:v>
      </x:c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 t="str">
        <x:v>План покрытия</x:v>
      </x:c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 t="str">
        <x:v>FTE — оплачиваемая доля полной ставки, не число людей в одной смене.</x:v>
      </x:c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 t="str">
        <x:v>Смены 10:00–21:00 плюс открытие/закрытие. В штатном расписании нужны совместители и подмена.</x:v>
      </x:c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Ночной ремонт, отпуск, больничный и перерывы не перекладываются на дежурного у детей.</x:v>
      </x:c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Для 100 м²: кассир совмещает кафе доготовки, ведущий праздника приглашается дополнительно.</x:v>
      </x:c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RR-FEC-250 | Электрика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Группа</x:v>
      </x:c>
      <x:c r="C6" s="24" t="str">
        <x:v>Установлено кВт</x:v>
      </x:c>
      <x:c r="D6" s="24" t="str">
        <x:v>Коэф. спроса</x:v>
      </x:c>
      <x:c r="E6" s="24" t="str">
        <x:v>Расчет кВт</x:v>
      </x:c>
      <x:c r="F6" s="24" t="str">
        <x:v>Статус</x:v>
      </x:c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23" customHeight="1">
      <x:c r="A7" s="1" t="n">
        <x:v>1</x:v>
      </x:c>
      <x:c r="B7" s="7" t="str">
        <x:v>Оборудование RR</x:v>
      </x:c>
      <x:c r="C7" s="17" t="n">
        <x:f>'Оборудование'!G24</x:f>
        <x:v>2.8800000000000003</x:v>
      </x:c>
      <x:c r="D7" s="16" t="n">
        <x:v>0.85</x:v>
      </x:c>
      <x:c r="E7" s="16" t="n">
        <x:f>C7*D7</x:f>
        <x:v>2.4480000000000004</x:v>
      </x:c>
      <x:c r="F7" s="7" t="str">
        <x:v>Часть значений — проектные резервы</x:v>
      </x:c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23" customHeight="1">
      <x:c r="A8" s="1" t="n">
        <x:v>2</x:v>
      </x:c>
      <x:c r="B8" s="7" t="str">
        <x:v>Освещение, 8 Вт/м²</x:v>
      </x:c>
      <x:c r="C8" s="16" t="n">
        <x:v>2</x:v>
      </x:c>
      <x:c r="D8" s="16" t="n">
        <x:v>0.95</x:v>
      </x:c>
      <x:c r="E8" s="16" t="n">
        <x:f>C8*D8</x:f>
        <x:v>1.9</x:v>
      </x:c>
      <x:c r="F8" s="7" t="str">
        <x:v>Расчетный резерв, не ТУ помещения</x:v>
      </x:c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23" customHeight="1">
      <x:c r="A9" s="1" t="n">
        <x:v>3</x:v>
      </x:c>
      <x:c r="B9" s="7" t="str">
        <x:v>Вентиляция и охлаждение: резерв 25 Вт/м²</x:v>
      </x:c>
      <x:c r="C9" s="16" t="n">
        <x:v>6.25</x:v>
      </x:c>
      <x:c r="D9" s="16" t="n">
        <x:v>0.8</x:v>
      </x:c>
      <x:c r="E9" s="16" t="n">
        <x:f>C9*D9</x:f>
        <x:v>5</x:v>
      </x:c>
      <x:c r="F9" s="7" t="str">
        <x:v>Расчетный резерв, не ТУ помещения</x:v>
      </x:c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23" customHeight="1">
      <x:c r="A10" s="1" t="n">
        <x:v>4</x:v>
      </x:c>
      <x:c r="B10" s="7" t="str">
        <x:v>Кухня: резерв</x:v>
      </x:c>
      <x:c r="C10" s="16" t="n">
        <x:v>12</x:v>
      </x:c>
      <x:c r="D10" s="16" t="n">
        <x:v>0.65</x:v>
      </x:c>
      <x:c r="E10" s="16" t="n">
        <x:f>C10*D10</x:f>
        <x:v>7.800000000000001</x:v>
      </x:c>
      <x:c r="F10" s="7" t="str">
        <x:v>Расчетный резерв, не ТУ помещения</x:v>
      </x:c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 t="n">
        <x:v>5</x:v>
      </x:c>
      <x:c r="B11" s="7" t="str">
        <x:v>Рабочие розетки родителей</x:v>
      </x:c>
      <x:c r="C11" s="16" t="n">
        <x:v>1.6</x:v>
      </x:c>
      <x:c r="D11" s="16" t="n">
        <x:v>0.5</x:v>
      </x:c>
      <x:c r="E11" s="16" t="n">
        <x:f>C11*D11</x:f>
        <x:v>0.8</x:v>
      </x:c>
      <x:c r="F11" s="7" t="str">
        <x:v>Расчетный резерв, не ТУ помещения</x:v>
      </x:c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 t="n">
        <x:v>6</x:v>
      </x:c>
      <x:c r="B12" s="7" t="str">
        <x:v>Касса, сеть, хозяйственные розетки</x:v>
      </x:c>
      <x:c r="C12" s="16" t="n">
        <x:v>2</x:v>
      </x:c>
      <x:c r="D12" s="16" t="n">
        <x:v>0.6</x:v>
      </x:c>
      <x:c r="E12" s="16" t="n">
        <x:f>C12*D12</x:f>
        <x:v>1.2</x:v>
      </x:c>
      <x:c r="F12" s="7" t="str">
        <x:v>Расчетный резерв, не ТУ помещения</x:v>
      </x:c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 t="n">
        <x:v>7</x:v>
      </x:c>
      <x:c r="B13" s="7" t="str">
        <x:v>Сцена и звук, резерв</x:v>
      </x:c>
      <x:c r="C13" s="16" t="n">
        <x:v>1</x:v>
      </x:c>
      <x:c r="D13" s="16" t="n">
        <x:v>0.5</x:v>
      </x:c>
      <x:c r="E13" s="16" t="n">
        <x:f>C13*D13</x:f>
        <x:v>0.5</x:v>
      </x:c>
      <x:c r="F13" s="7" t="str">
        <x:v>Расчетный резерв, не ТУ помещения</x:v>
      </x:c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/>
      <x:c r="B14" s="7"/>
      <x:c r="C14" s="16"/>
      <x:c r="D14" s="16"/>
      <x:c r="E14" s="16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 t="str">
        <x:v>Суммарная установленная</x:v>
      </x:c>
      <x:c r="C15" s="16" t="n">
        <x:f>SUM(C7:C13)</x:f>
        <x:v>27.730000000000004</x:v>
      </x:c>
      <x:c r="D15" s="16"/>
      <x:c r="E15" s="16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 t="str">
        <x:v>Расчетная рабочая</x:v>
      </x:c>
      <x:c r="C16" s="16"/>
      <x:c r="D16" s="16"/>
      <x:c r="E16" s="16" t="n">
        <x:f>SUM(E7:E13)</x:f>
        <x:v>19.648000000000003</x:v>
      </x:c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 t="str">
        <x:v>Резерв на развитие</x:v>
      </x:c>
      <x:c r="C17" s="31" t="n">
        <x:v>0.25</x:v>
      </x:c>
      <x:c r="D17" s="16"/>
      <x:c r="E17" s="16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 t="str">
        <x:v>Запрос мощности, ориентир</x:v>
      </x:c>
      <x:c r="C18" s="16"/>
      <x:c r="D18" s="16"/>
      <x:c r="E18" s="16" t="n">
        <x:f>E16*(1+C17)</x:f>
        <x:v>24.560000000000002</x:v>
      </x:c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 t="str">
        <x:v>Ток 3 фазы, 400 В, cosφ 0,95</x:v>
      </x:c>
      <x:c r="C19" s="16"/>
      <x:c r="D19" s="16"/>
      <x:c r="E19" s="16" t="n">
        <x:f>E18*1000/(1.732*400*0.95)</x:f>
        <x:v>37.31615412665614</x:v>
      </x:c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 t="str">
        <x:v>Эквивалент работы, ч/день</x:v>
      </x:c>
      <x:c r="C20" s="16" t="n">
        <x:v>8</x:v>
      </x:c>
      <x:c r="D20" s="16"/>
      <x:c r="E20" s="16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 t="str">
        <x:v>Электроэнергия, кВт·ч/мес</x:v>
      </x:c>
      <x:c r="C21" s="16"/>
      <x:c r="D21" s="16"/>
      <x:c r="E21" s="17" t="n">
        <x:f>E16*C20*'Допущения'!B18</x:f>
        <x:v>4715.52</x:v>
      </x:c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 t="str">
        <x:v>Электроэнергия, ₽/мес</x:v>
      </x:c>
      <x:c r="C22" s="16"/>
      <x:c r="D22" s="16"/>
      <x:c r="E22" s="17" t="n">
        <x:f>E21*'Допущения'!B24</x:f>
        <x:v>42439.68000000001</x:v>
      </x:c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 t="str">
        <x:v>Не использовать для монтажа</x:v>
      </x:c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 t="str">
        <x:v>Сечения, автоматы, УЗО, селективность и падение напряжения определяются после обмеров и паспортов.</x:v>
      </x:c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str">
        <x:v>Energy Jump: противоречие напряжения. Триколор: 60/600 Вт. Не подключать по этой таблице.</x:v>
      </x:c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str">
        <x:v>Отопление, существующие общие инженерные системы и категория надежности требуют ТУ арендодателя.</x:v>
      </x:c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50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RR-FEC-250 | Инвестиции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Статья</x:v>
      </x:c>
      <x:c r="C6" s="24" t="str">
        <x:v>Сумма, ₽</x:v>
      </x:c>
      <x:c r="D6" s="24" t="str">
        <x:v>Основание</x:v>
      </x:c>
      <x:c r="E6" s="24"/>
      <x:c r="F6" s="24"/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38" customHeight="1">
      <x:c r="A7" s="1" t="n">
        <x:v>1</x:v>
      </x:c>
      <x:c r="B7" s="28" t="str">
        <x:v>Оборудование RR</x:v>
      </x:c>
      <x:c r="C7" s="29" t="n">
        <x:f>'Оборудование'!E24</x:f>
        <x:v>3440480</x:v>
      </x:c>
      <x:c r="D7" s="28" t="str">
        <x:v>Каталог 24.10.2026</x:v>
      </x:c>
      <x:c r="E7" s="7"/>
      <x:c r="F7" s="7"/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38" customHeight="1">
      <x:c r="A8" s="1" t="n">
        <x:v>2</x:v>
      </x:c>
      <x:c r="B8" s="28" t="str">
        <x:v>Доставка и монтаж RR, резерв</x:v>
      </x:c>
      <x:c r="C8" s="28" t="n">
        <x:f>C7*0.08</x:f>
        <x:v>275238.4</x:v>
      </x:c>
      <x:c r="D8" s="28" t="str">
        <x:v>8% оборудования, требуется смета</x:v>
      </x:c>
      <x:c r="E8" s="7"/>
      <x:c r="F8" s="7"/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38" customHeight="1">
      <x:c r="A9" s="1" t="n">
        <x:v>3</x:v>
      </x:c>
      <x:c r="B9" s="28" t="str">
        <x:v>Отделка и общестрой без инженерии</x:v>
      </x:c>
      <x:c r="C9" s="28" t="n">
        <x:v>4500000</x:v>
      </x:c>
      <x:c r="D9" s="28" t="str">
        <x:v>18000 ₽/м² — гипотеза</x:v>
      </x:c>
      <x:c r="E9" s="7"/>
      <x:c r="F9" s="7"/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38" customHeight="1">
      <x:c r="A10" s="1" t="n">
        <x:v>4</x:v>
      </x:c>
      <x:c r="B10" s="28" t="str">
        <x:v>Кафе, кухня, мебель и посадка</x:v>
      </x:c>
      <x:c r="C10" s="28" t="n">
        <x:v>600000</x:v>
      </x:c>
      <x:c r="D10" s="28" t="str">
        <x:v>Внешние поставщики, бюджетный резерв</x:v>
      </x:c>
      <x:c r="E10" s="7"/>
      <x:c r="F10" s="7"/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38" customHeight="1">
      <x:c r="A11" s="1" t="n">
        <x:v>5</x:v>
      </x:c>
      <x:c r="B11" s="28" t="str">
        <x:v>Сцена, звук, банкетные комнаты и декор</x:v>
      </x:c>
      <x:c r="C11" s="28" t="n">
        <x:v>175000</x:v>
      </x:c>
      <x:c r="D11" s="28" t="str">
        <x:v>Внешние поставщики, бюджетный резерв</x:v>
      </x:c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38" customHeight="1">
      <x:c r="A12" s="1" t="n">
        <x:v>6</x:v>
      </x:c>
      <x:c r="B12" s="28" t="str">
        <x:v>Касса, учет доступа, СКУД, CCTV, сеть</x:v>
      </x:c>
      <x:c r="C12" s="28" t="n">
        <x:v>180000</x:v>
      </x:c>
      <x:c r="D12" s="28" t="str">
        <x:v>Внешние поставщики, бюджетный резерв</x:v>
      </x:c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38" customHeight="1">
      <x:c r="A13" s="1" t="n">
        <x:v>7</x:v>
      </x:c>
      <x:c r="B13" s="28" t="str">
        <x:v>Электрика, вентиляция, пожарные системы: резерв</x:v>
      </x:c>
      <x:c r="C13" s="28" t="n">
        <x:v>1500000</x:v>
      </x:c>
      <x:c r="D13" s="28" t="str">
        <x:v>Внешние поставщики, бюджетный резерв</x:v>
      </x:c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38" customHeight="1">
      <x:c r="A14" s="1" t="n">
        <x:v>8</x:v>
      </x:c>
      <x:c r="B14" s="28" t="str">
        <x:v>Обследование, адаптация проекта, согласования: резерв</x:v>
      </x:c>
      <x:c r="C14" s="28" t="n">
        <x:v>250000</x:v>
      </x:c>
      <x:c r="D14" s="28" t="str">
        <x:v>Внешние поставщики, бюджетный резерв</x:v>
      </x:c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n">
        <x:v>9</x:v>
      </x:c>
      <x:c r="B15" s="7" t="str">
        <x:v>Картридеры / контроллеры аркад и интеграция: резерв</x:v>
      </x:c>
      <x:c r="C15" s="9" t="n">
        <x:f>'Аркады'!C17*22000</x:f>
        <x:v>220000</x:v>
      </x:c>
      <x:c r="D15" s="7" t="str">
        <x:v>Внешние поставщики, бюджетный резерв</x:v>
      </x:c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 t="str">
        <x:v>Основные вложения</x:v>
      </x:c>
      <x:c r="C16" s="7" t="n">
        <x:f>SUM(C7:C15)</x:f>
        <x:v>11140718.4</x:v>
      </x:c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 t="str">
        <x:v>Непредвиденные, 10%</x:v>
      </x:c>
      <x:c r="C17" s="7" t="n">
        <x:f>C16*0.10</x:f>
        <x:v>1114071.84</x:v>
      </x:c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 t="str">
        <x:v>Депозит аренды: два месяца</x:v>
      </x:c>
      <x:c r="C18" s="7" t="n">
        <x:v>325000</x:v>
      </x:c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 t="str">
        <x:v>Реклама запуска</x:v>
      </x:c>
      <x:c r="C19" s="7" t="n">
        <x:v>250000</x:v>
      </x:c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 t="str">
        <x:v>Оборотный резерв: 3 месяца fixed</x:v>
      </x:c>
      <x:c r="C20" s="7" t="n">
        <x:f>C35*3</x:f>
        <x:v>3789351.115</x:v>
      </x:c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 t="str">
        <x:v>ВСЕГО стартовый бюджет</x:v>
      </x:c>
      <x:c r="C21" s="7" t="n">
        <x:f>SUM(C16:C20)</x:f>
        <x:v>16619141.355</x:v>
      </x:c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 t="str">
        <x:v>№</x:v>
      </x:c>
      <x:c r="B24" s="7" t="str">
        <x:v>Постоянные расходы / месяц</x:v>
      </x:c>
      <x:c r="C24" s="7" t="str">
        <x:v>Сумма, ₽</x:v>
      </x:c>
      <x:c r="D24" s="7" t="str">
        <x:v>Основание</x:v>
      </x:c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 t="str">
        <x:v>ФОТ с резервом взносов</x:v>
      </x:c>
      <x:c r="C25" s="9" t="n">
        <x:f>'Персонал'!E16</x:f>
        <x:v>943950</x:v>
      </x:c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 t="n">
        <x:v>2</x:v>
      </x:c>
      <x:c r="B26" s="1" t="str">
        <x:v>Аренда</x:v>
      </x:c>
      <x:c r="C26" s="7" t="n">
        <x:v>162500</x:v>
      </x:c>
      <x:c r="D26" s="7" t="str">
        <x:v>Бюджетное допущение</x:v>
      </x:c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 t="n">
        <x:v>3</x:v>
      </x:c>
      <x:c r="B27" s="1" t="str">
        <x:v>Коммунальные: электричество (9 ₽/кВт·ч)</x:v>
      </x:c>
      <x:c r="C27" s="9" t="n">
        <x:f>'Электрика'!E22</x:f>
        <x:v>42439.68000000001</x:v>
      </x:c>
      <x:c r="D27" s="7" t="str">
        <x:v>Бюджетное допущение</x:v>
      </x:c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 t="n">
        <x:v>4</x:v>
      </x:c>
      <x:c r="B28" s="1" t="str">
        <x:v>Вода, отопление и общие услуги</x:v>
      </x:c>
      <x:c r="C28" s="7" t="n">
        <x:v>15000</x:v>
      </x:c>
      <x:c r="D28" s="7" t="str">
        <x:v>Бюджетное допущение</x:v>
      </x:c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 t="n">
        <x:v>5</x:v>
      </x:c>
      <x:c r="B29" s="1" t="str">
        <x:v>Текущая реклама, включая события</x:v>
      </x:c>
      <x:c r="C29" s="7" t="n">
        <x:v>60000</x:v>
      </x:c>
      <x:c r="D29" s="7" t="str">
        <x:v>Бюджетное допущение</x:v>
      </x:c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 t="n">
        <x:v>6</x:v>
      </x:c>
      <x:c r="B30" s="1" t="str">
        <x:v>Расходы связи, кассы, ПО, бухгалтерии</x:v>
      </x:c>
      <x:c r="C30" s="7" t="n">
        <x:v>18000</x:v>
      </x:c>
      <x:c r="D30" s="7" t="str">
        <x:v>Бюджетное допущение</x:v>
      </x:c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 t="n">
        <x:v>7</x:v>
      </x:c>
      <x:c r="B31" s="1" t="str">
        <x:v>Плановый сервис и расходники</x:v>
      </x:c>
      <x:c r="C31" s="9" t="n">
        <x:f>SUMIF('Оборудование'!K7:K23,2,'Оборудование'!E7:E23)*0.05/12+(C7-SUMIF('Оборудование'!K7:K23,2,'Оборудование'!E7:E23))*0.035/12</x:f>
        <x:v>12477.358333333334</x:v>
      </x:c>
      <x:c r="D31" s="7" t="str">
        <x:v>Бюджетное допущение</x:v>
      </x:c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 t="n">
        <x:v>8</x:v>
      </x:c>
      <x:c r="B32" s="1" t="str">
        <x:v>Страхование и охрана: резерв</x:v>
      </x:c>
      <x:c r="C32" s="7" t="n">
        <x:v>8750</x:v>
      </x:c>
      <x:c r="D32" s="7" t="str">
        <x:v>Бюджетное допущение</x:v>
      </x:c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 t="str">
        <x:v>ИТОГО постоянных</x:v>
      </x:c>
      <x:c r="C35" s="7" t="n">
        <x:f>SUM(C25:C32)</x:f>
        <x:v>1263117.0383333333</x:v>
      </x:c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 t="str">
        <x:v>Внешнее оснащение</x:v>
      </x:c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 t="str">
        <x:v>Порекомендуем надежных поставщиков подобного оборудования клиентам, которые открывают центр вместе с нами.</x:v>
      </x:c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 t="str">
        <x:v>В стартовом бюджете есть оборотный резерв и возвратный депозит: они не являются продажей оборудования RR.</x:v>
      </x:c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 t="str">
        <x:v>Кредит, покупка недвижимости и централизованное отопление сверх резерва не включены.</x:v>
      </x:c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RR-FEC-250 | Зоны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№</x:v>
      </x:c>
      <x:c r="B6" s="25" t="str">
        <x:v>Зона</x:v>
      </x:c>
      <x:c r="C6" s="24" t="str">
        <x:v>Объем</x:v>
      </x:c>
      <x:c r="D6" s="24" t="str">
        <x:v>Цена</x:v>
      </x:c>
      <x:c r="E6" s="24" t="str">
        <x:v>Платежи ₽</x:v>
      </x:c>
      <x:c r="F6" s="24" t="str">
        <x:v>Без НДС ₽</x:v>
      </x:c>
      <x:c r="G6" s="24" t="str">
        <x:v>Прямые ₽</x:v>
      </x:c>
      <x:c r="H6" s="24" t="str">
        <x:v>Эквайринг ₽</x:v>
      </x:c>
      <x:c r="I6" s="24" t="str">
        <x:v>Маржа ₽</x:v>
      </x:c>
      <x:c r="J6" s="24" t="str">
        <x:v>Общие fixed ₽</x:v>
      </x:c>
      <x:c r="K6" s="24" t="str">
        <x:v>Налог ₽</x:v>
      </x:c>
      <x:c r="L6" s="24" t="str">
        <x:v>Обновление ₽</x:v>
      </x:c>
      <x:c r="M6" s="24" t="str">
        <x:v>Поток ₽</x:v>
      </x:c>
      <x:c r="N6" s="24" t="str">
        <x:v>Доля выручки</x:v>
      </x:c>
      <x:c r="O6" s="24" t="str">
        <x:v>Вложения ₽</x:v>
      </x:c>
      <x:c r="P6" s="24" t="str">
        <x:v>Простая окуп. мес</x:v>
      </x:c>
      <x:c r="Q6" s="24"/>
      <x:c r="R6" s="1"/>
      <x:c r="S6" s="1"/>
      <x:c r="T6" s="1"/>
      <x:c r="U6" s="1"/>
      <x:c r="V6" s="1"/>
      <x:c r="W6" s="1"/>
    </x:row>
    <x:row r="7" ht="23" customHeight="1">
      <x:c r="A7" s="1" t="n">
        <x:v>1</x:v>
      </x:c>
      <x:c r="B7" s="9" t="str">
        <x:f>'Допущения'!B31</x:f>
        <x:v>Входные билеты и свободная игра</x:v>
      </x:c>
      <x:c r="C7" s="9" t="n">
        <x:f>'Допущения'!C31*'Допущения'!$B$8</x:f>
        <x:v>2860.2</x:v>
      </x:c>
      <x:c r="D7" s="9" t="n">
        <x:f>'Допущения'!D31</x:f>
        <x:v>700</x:v>
      </x:c>
      <x:c r="E7" s="7" t="n">
        <x:f>C7*D7</x:f>
        <x:v>2002139.9999999998</x:v>
      </x:c>
      <x:c r="F7" s="9" t="n">
        <x:f>E7/(1+'Допущения'!$B$9)</x:f>
        <x:v>1906799.9999999998</x:v>
      </x:c>
      <x:c r="G7" s="9" t="n">
        <x:f>F7*'Допущения'!E31+C7*'Допущения'!F31</x:f>
        <x:v>38135.99999999999</x:v>
      </x:c>
      <x:c r="H7" s="9" t="n">
        <x:f>E7*'Допущения'!$B$11</x:f>
        <x:v>40042.799999999996</x:v>
      </x:c>
      <x:c r="I7" s="7" t="n">
        <x:f>F7-G7-H7</x:f>
        <x:v>1828621.1999999997</x:v>
      </x:c>
      <x:c r="J7" s="9" t="n">
        <x:f>'Инвестиции'!$C$35*'Допущения'!G31/SUM('Допущения'!$G$31:$G$37)</x:f>
        <x:v>460511.4202256944</x:v>
      </x:c>
      <x:c r="K7" s="9" t="n">
        <x:f>F7*'Допущения'!$B$10</x:f>
        <x:v>114407.99999999999</x:v>
      </x:c>
      <x:c r="L7" s="9" t="n">
        <x:f>F7*'Допущения'!$B$12</x:f>
        <x:v>38135.99999999999</x:v>
      </x:c>
      <x:c r="M7" s="7" t="n">
        <x:f>I7-J7-K7-L7</x:f>
        <x:v>1215565.7797743054</x:v>
      </x:c>
      <x:c r="N7" s="20" t="n">
        <x:f>E7/SUM($E$7:$E$13)</x:f>
        <x:v>0.5450298468725667</x:v>
      </x:c>
      <x:c r="O7" s="9" t="n">
        <x:f>'Инвестиции'!$C$21*'Допущения'!G31/SUM('Допущения'!$G$31:$G$37)</x:f>
        <x:v>6059061.95234375</x:v>
      </x:c>
      <x:c r="P7" s="21" t="n">
        <x:f>IF(M7&gt;0,O7/M7,"нет")</x:f>
        <x:v>4.984561142769862</x:v>
      </x:c>
      <x:c r="Q7" s="7"/>
      <x:c r="R7" s="7"/>
      <x:c r="S7" s="7"/>
      <x:c r="T7" s="7"/>
      <x:c r="U7" s="7"/>
      <x:c r="V7" s="7"/>
      <x:c r="W7" s="7"/>
    </x:row>
    <x:row r="8" ht="23" customHeight="1">
      <x:c r="A8" s="1" t="n">
        <x:v>2</x:v>
      </x:c>
      <x:c r="B8" s="9" t="str">
        <x:f>'Допущения'!B32</x:f>
        <x:v>Технологические аттракционы</x:v>
      </x:c>
      <x:c r="C8" s="9" t="n">
        <x:f>'Допущения'!C32*'Допущения'!$B$8</x:f>
        <x:v>635.6</x:v>
      </x:c>
      <x:c r="D8" s="9" t="n">
        <x:f>'Допущения'!D32</x:f>
        <x:v>150</x:v>
      </x:c>
      <x:c r="E8" s="7" t="n">
        <x:f>C8*D8</x:f>
        <x:v>95340</x:v>
      </x:c>
      <x:c r="F8" s="9" t="n">
        <x:f>E8/(1+'Допущения'!$B$9)</x:f>
        <x:v>90800</x:v>
      </x:c>
      <x:c r="G8" s="9" t="n">
        <x:f>F8*'Допущения'!E32+C8*'Допущения'!F32</x:f>
        <x:v>4540</x:v>
      </x:c>
      <x:c r="H8" s="9" t="n">
        <x:f>E8*'Допущения'!$B$11</x:f>
        <x:v>1906.8</x:v>
      </x:c>
      <x:c r="I8" s="7" t="n">
        <x:f>F8-G8-H8</x:f>
        <x:v>84353.2</x:v>
      </x:c>
      <x:c r="J8" s="9" t="n">
        <x:f>'Инвестиции'!$C$35*'Допущения'!G32/SUM('Допущения'!$G$31:$G$37)</x:f>
        <x:v>197362.03723958333</x:v>
      </x:c>
      <x:c r="K8" s="9" t="n">
        <x:f>F8*'Допущения'!$B$10</x:f>
        <x:v>5448</x:v>
      </x:c>
      <x:c r="L8" s="9" t="n">
        <x:f>F8*'Допущения'!$B$12</x:f>
        <x:v>1816</x:v>
      </x:c>
      <x:c r="M8" s="7" t="n">
        <x:f>I8-J8-K8-L8</x:f>
        <x:v>-120272.83723958333</x:v>
      </x:c>
      <x:c r="N8" s="20" t="n">
        <x:f>E8/SUM($E$7:$E$13)</x:f>
        <x:v>0.02595380223202699</x:v>
      </x:c>
      <x:c r="O8" s="9" t="n">
        <x:f>'Инвестиции'!$C$21*'Допущения'!G32/SUM('Допущения'!$G$31:$G$37)</x:f>
        <x:v>2596740.83671875</x:v>
      </x:c>
      <x:c r="P8" s="21" t="str">
        <x:f>IF(M8&gt;0,O8/M8,"нет")</x:f>
        <x:v>нет</x:v>
      </x:c>
      <x:c r="Q8" s="7"/>
      <x:c r="R8" s="7"/>
      <x:c r="S8" s="7"/>
      <x:c r="T8" s="7"/>
      <x:c r="U8" s="7"/>
      <x:c r="V8" s="7"/>
      <x:c r="W8" s="7"/>
    </x:row>
    <x:row r="9" ht="23" customHeight="1">
      <x:c r="A9" s="1" t="n">
        <x:v>3</x:v>
      </x:c>
      <x:c r="B9" s="9" t="str">
        <x:f>'Допущения'!B33</x:f>
        <x:v>Аркады и семейные игры</x:v>
      </x:c>
      <x:c r="C9" s="9" t="n">
        <x:f>'Допущения'!C33*'Допущения'!$B$8</x:f>
        <x:v>5148.36</x:v>
      </x:c>
      <x:c r="D9" s="9" t="n">
        <x:f>'Допущения'!D33</x:f>
        <x:v>70</x:v>
      </x:c>
      <x:c r="E9" s="7" t="n">
        <x:f>C9*D9</x:f>
        <x:v>360385.19999999995</x:v>
      </x:c>
      <x:c r="F9" s="9" t="n">
        <x:f>E9/(1+'Допущения'!$B$9)</x:f>
        <x:v>343223.99999999994</x:v>
      </x:c>
      <x:c r="G9" s="9" t="n">
        <x:f>F9*'Допущения'!E33+C9*'Допущения'!F33</x:f>
        <x:v>68644.79999999999</x:v>
      </x:c>
      <x:c r="H9" s="9" t="n">
        <x:f>E9*'Допущения'!$B$11</x:f>
        <x:v>7207.703999999999</x:v>
      </x:c>
      <x:c r="I9" s="7" t="n">
        <x:f>F9-G9-H9</x:f>
        <x:v>267371.4959999999</x:v>
      </x:c>
      <x:c r="J9" s="9" t="n">
        <x:f>'Инвестиции'!$C$35*'Допущения'!G33/SUM('Допущения'!$G$31:$G$37)</x:f>
        <x:v>157889.62979166667</x:v>
      </x:c>
      <x:c r="K9" s="9" t="n">
        <x:f>F9*'Допущения'!$B$10</x:f>
        <x:v>20593.439999999995</x:v>
      </x:c>
      <x:c r="L9" s="9" t="n">
        <x:f>F9*'Допущения'!$B$12</x:f>
        <x:v>6864.479999999999</x:v>
      </x:c>
      <x:c r="M9" s="7" t="n">
        <x:f>I9-J9-K9-L9</x:f>
        <x:v>82023.94620833326</x:v>
      </x:c>
      <x:c r="N9" s="20" t="n">
        <x:f>E9/SUM($E$7:$E$13)</x:f>
        <x:v>0.09810537243706201</x:v>
      </x:c>
      <x:c r="O9" s="9" t="n">
        <x:f>'Инвестиции'!$C$21*'Допущения'!G33/SUM('Допущения'!$G$31:$G$37)</x:f>
        <x:v>2077392.669375</x:v>
      </x:c>
      <x:c r="P9" s="21" t="n">
        <x:f>IF(M9&gt;0,O9/M9,"нет")</x:f>
        <x:v>25.326660876552005</x:v>
      </x:c>
      <x:c r="Q9" s="7"/>
      <x:c r="R9" s="7"/>
      <x:c r="S9" s="7"/>
      <x:c r="T9" s="7"/>
      <x:c r="U9" s="7"/>
      <x:c r="V9" s="7"/>
      <x:c r="W9" s="7"/>
    </x:row>
    <x:row r="10" ht="23" customHeight="1">
      <x:c r="A10" s="1" t="n">
        <x:v>4</x:v>
      </x:c>
      <x:c r="B10" s="9" t="str">
        <x:f>'Допущения'!B34</x:f>
        <x:v>Банкетные комнаты и ведущий</x:v>
      </x:c>
      <x:c r="C10" s="9" t="n">
        <x:f>'Допущения'!C34*'Допущения'!$B$8</x:f>
        <x:v>28.602</x:v>
      </x:c>
      <x:c r="D10" s="9" t="n">
        <x:f>'Допущения'!D34</x:f>
        <x:v>15000</x:v>
      </x:c>
      <x:c r="E10" s="7" t="n">
        <x:f>C10*D10</x:f>
        <x:v>429030</x:v>
      </x:c>
      <x:c r="F10" s="9" t="n">
        <x:f>E10/(1+'Допущения'!$B$9)</x:f>
        <x:v>408600</x:v>
      </x:c>
      <x:c r="G10" s="9" t="n">
        <x:f>F10*'Допущения'!E34+C10*'Допущения'!F34</x:f>
        <x:v>102150</x:v>
      </x:c>
      <x:c r="H10" s="9" t="n">
        <x:f>E10*'Допущения'!$B$11</x:f>
        <x:v>8580.6</x:v>
      </x:c>
      <x:c r="I10" s="7" t="n">
        <x:f>F10-G10-H10</x:f>
        <x:v>297869.4</x:v>
      </x:c>
      <x:c r="J10" s="9" t="n">
        <x:f>'Инвестиции'!$C$35*'Допущения'!G34/SUM('Допущения'!$G$31:$G$37)</x:f>
        <x:v>157889.62979166667</x:v>
      </x:c>
      <x:c r="K10" s="9" t="n">
        <x:f>F10*'Допущения'!$B$10</x:f>
        <x:v>24516</x:v>
      </x:c>
      <x:c r="L10" s="9" t="n">
        <x:f>F10*'Допущения'!$B$12</x:f>
        <x:v>8172</x:v>
      </x:c>
      <x:c r="M10" s="7" t="n">
        <x:f>I10-J10-K10-L10</x:f>
        <x:v>107291.77020833336</x:v>
      </x:c>
      <x:c r="N10" s="20" t="n">
        <x:f>E10/SUM($E$7:$E$13)</x:f>
        <x:v>0.11679211004412146</x:v>
      </x:c>
      <x:c r="O10" s="9" t="n">
        <x:f>'Инвестиции'!$C$21*'Допущения'!G34/SUM('Допущения'!$G$31:$G$37)</x:f>
        <x:v>2077392.669375</x:v>
      </x:c>
      <x:c r="P10" s="21" t="n">
        <x:f>IF(M10&gt;0,O10/M10,"нет")</x:f>
        <x:v>19.36208774765512</x:v>
      </x:c>
      <x:c r="Q10" s="7"/>
      <x:c r="R10" s="7"/>
      <x:c r="S10" s="7"/>
      <x:c r="T10" s="7"/>
      <x:c r="U10" s="7"/>
      <x:c r="V10" s="7"/>
      <x:c r="W10" s="7"/>
    </x:row>
    <x:row r="11" ht="23" customHeight="1">
      <x:c r="A11" s="1" t="n">
        <x:v>5</x:v>
      </x:c>
      <x:c r="B11" s="9" t="str">
        <x:f>'Допущения'!B35</x:f>
        <x:v>Кафе и ожидание родителей</x:v>
      </x:c>
      <x:c r="C11" s="9" t="n">
        <x:f>'Допущения'!C35*'Допущения'!$B$8</x:f>
        <x:v>1430.1</x:v>
      </x:c>
      <x:c r="D11" s="9" t="n">
        <x:f>'Допущения'!D35</x:f>
        <x:v>500</x:v>
      </x:c>
      <x:c r="E11" s="7" t="n">
        <x:f>C11*D11</x:f>
        <x:v>715050</x:v>
      </x:c>
      <x:c r="F11" s="9" t="n">
        <x:f>E11/(1+'Допущения'!$B$9)</x:f>
        <x:v>681000</x:v>
      </x:c>
      <x:c r="G11" s="9" t="n">
        <x:f>F11*'Допущения'!E35+C11*'Допущения'!F35</x:f>
        <x:v>238349.99999999997</x:v>
      </x:c>
      <x:c r="H11" s="9" t="n">
        <x:f>E11*'Допущения'!$B$11</x:f>
        <x:v>14301</x:v>
      </x:c>
      <x:c r="I11" s="7" t="n">
        <x:f>F11-G11-H11</x:f>
        <x:v>428349</x:v>
      </x:c>
      <x:c r="J11" s="9" t="n">
        <x:f>'Инвестиции'!$C$35*'Допущения'!G35/SUM('Допущения'!$G$31:$G$37)</x:f>
        <x:v>184204.56809027778</x:v>
      </x:c>
      <x:c r="K11" s="9" t="n">
        <x:f>F11*'Допущения'!$B$10</x:f>
        <x:v>40860</x:v>
      </x:c>
      <x:c r="L11" s="9" t="n">
        <x:f>F11*'Допущения'!$B$12</x:f>
        <x:v>13620</x:v>
      </x:c>
      <x:c r="M11" s="7" t="n">
        <x:f>I11-J11-K11-L11</x:f>
        <x:v>189664.43190972222</x:v>
      </x:c>
      <x:c r="N11" s="20" t="n">
        <x:f>E11/SUM($E$7:$E$13)</x:f>
        <x:v>0.19465351674020243</x:v>
      </x:c>
      <x:c r="O11" s="9" t="n">
        <x:f>'Инвестиции'!$C$21*'Допущения'!G35/SUM('Допущения'!$G$31:$G$37)</x:f>
        <x:v>2423624.7809375003</x:v>
      </x:c>
      <x:c r="P11" s="21" t="n">
        <x:f>IF(M11&gt;0,O11/M11,"нет")</x:f>
        <x:v>12.778488599755562</x:v>
      </x:c>
      <x:c r="Q11" s="7"/>
      <x:c r="R11" s="7"/>
      <x:c r="S11" s="7"/>
      <x:c r="T11" s="7"/>
      <x:c r="U11" s="7"/>
      <x:c r="V11" s="7"/>
      <x:c r="W11" s="7"/>
    </x:row>
    <x:row r="12" ht="23" customHeight="1">
      <x:c r="A12" s="1" t="n">
        <x:v>6</x:v>
      </x:c>
      <x:c r="B12" s="9" t="str">
        <x:f>'Допущения'!B36</x:f>
        <x:v>Платные мастер-классы</x:v>
      </x:c>
      <x:c r="C12" s="9" t="n">
        <x:f>'Допущения'!C36*'Допущения'!$B$8</x:f>
        <x:v>158.9</x:v>
      </x:c>
      <x:c r="D12" s="9" t="n">
        <x:f>'Допущения'!D36</x:f>
        <x:v>450</x:v>
      </x:c>
      <x:c r="E12" s="7" t="n">
        <x:f>C12*D12</x:f>
        <x:v>71505</x:v>
      </x:c>
      <x:c r="F12" s="9" t="n">
        <x:f>E12/(1+'Допущения'!$B$9)</x:f>
        <x:v>68100</x:v>
      </x:c>
      <x:c r="G12" s="9" t="n">
        <x:f>F12*'Допущения'!E36+C12*'Допущения'!F36</x:f>
        <x:v>20430</x:v>
      </x:c>
      <x:c r="H12" s="9" t="n">
        <x:f>E12*'Допущения'!$B$11</x:f>
        <x:v>1430.1000000000001</x:v>
      </x:c>
      <x:c r="I12" s="7" t="n">
        <x:f>F12-G12-H12</x:f>
        <x:v>46239.9</x:v>
      </x:c>
      <x:c r="J12" s="9" t="n">
        <x:f>'Инвестиции'!$C$35*'Допущения'!G36/SUM('Допущения'!$G$31:$G$37)</x:f>
        <x:v>105259.75319444445</x:v>
      </x:c>
      <x:c r="K12" s="9" t="n">
        <x:f>F12*'Допущения'!$B$10</x:f>
        <x:v>4086</x:v>
      </x:c>
      <x:c r="L12" s="9" t="n">
        <x:f>F12*'Допущения'!$B$12</x:f>
        <x:v>1362</x:v>
      </x:c>
      <x:c r="M12" s="7" t="n">
        <x:f>I12-J12-K12-L12</x:f>
        <x:v>-64467.85319444445</x:v>
      </x:c>
      <x:c r="N12" s="20" t="n">
        <x:f>E12/SUM($E$7:$E$13)</x:f>
        <x:v>0.019465351674020245</x:v>
      </x:c>
      <x:c r="O12" s="9" t="n">
        <x:f>'Инвестиции'!$C$21*'Допущения'!G36/SUM('Допущения'!$G$31:$G$37)</x:f>
        <x:v>1384928.4462500003</x:v>
      </x:c>
      <x:c r="P12" s="21" t="str">
        <x:f>IF(M12&gt;0,O12/M12,"нет")</x:f>
        <x:v>нет</x:v>
      </x:c>
      <x:c r="Q12" s="7"/>
      <x:c r="R12" s="7"/>
      <x:c r="S12" s="7"/>
      <x:c r="T12" s="7"/>
      <x:c r="U12" s="7"/>
      <x:c r="V12" s="7"/>
      <x:c r="W12" s="7"/>
    </x:row>
    <x:row r="13" ht="23" customHeight="1">
      <x:c r="A13" s="1" t="n">
        <x:v>7</x:v>
      </x:c>
      <x:c r="B13" s="9" t="str">
        <x:f>'Допущения'!B37</x:f>
        <x:v>Нейрофото</x:v>
      </x:c>
      <x:c r="C13" s="9" t="n">
        <x:f>'Допущения'!C37*'Допущения'!$B$8</x:f>
        <x:v>0</x:v>
      </x:c>
      <x:c r="D13" s="9" t="n">
        <x:f>'Допущения'!D37</x:f>
        <x:v>200</x:v>
      </x:c>
      <x:c r="E13" s="7" t="n">
        <x:f>C13*D13</x:f>
        <x:v>0</x:v>
      </x:c>
      <x:c r="F13" s="9" t="n">
        <x:f>E13/(1+'Допущения'!$B$9)</x:f>
        <x:v>0</x:v>
      </x:c>
      <x:c r="G13" s="9" t="n">
        <x:f>F13*'Допущения'!E37+C13*'Допущения'!F37</x:f>
        <x:v>0</x:v>
      </x:c>
      <x:c r="H13" s="9" t="n">
        <x:f>E13*'Допущения'!$B$11</x:f>
        <x:v>0</x:v>
      </x:c>
      <x:c r="I13" s="7" t="n">
        <x:f>F13-G13-H13</x:f>
        <x:v>0</x:v>
      </x:c>
      <x:c r="J13" s="9" t="n">
        <x:f>'Инвестиции'!$C$35*'Допущения'!G37/SUM('Допущения'!$G$31:$G$37)</x:f>
        <x:v>0</x:v>
      </x:c>
      <x:c r="K13" s="9" t="n">
        <x:f>F13*'Допущения'!$B$10</x:f>
        <x:v>0</x:v>
      </x:c>
      <x:c r="L13" s="9" t="n">
        <x:f>F13*'Допущения'!$B$12</x:f>
        <x:v>0</x:v>
      </x:c>
      <x:c r="M13" s="7" t="n">
        <x:f>I13-J13-K13-L13</x:f>
        <x:v>0</x:v>
      </x:c>
      <x:c r="N13" s="20" t="n">
        <x:f>E13/SUM($E$7:$E$13)</x:f>
        <x:v>0</x:v>
      </x:c>
      <x:c r="O13" s="9" t="n">
        <x:f>'Инвестиции'!$C$21*'Допущения'!G37/SUM('Допущения'!$G$31:$G$37)</x:f>
        <x:v>0</x:v>
      </x:c>
      <x:c r="P13" s="21" t="str">
        <x:f>IF(M13&gt;0,O13/M13,"нет")</x:f>
        <x:v>нет</x:v>
      </x:c>
      <x:c r="Q13" s="7"/>
      <x:c r="R13" s="7"/>
      <x:c r="S13" s="7"/>
      <x:c r="T13" s="7"/>
      <x:c r="U13" s="7"/>
      <x:c r="V13" s="7"/>
      <x:c r="W13" s="7"/>
    </x:row>
    <x:row r="14" ht="23" customHeight="1">
      <x:c r="A14" s="1"/>
      <x:c r="B14" s="7" t="str">
        <x:v>ИТОГО</x:v>
      </x:c>
      <x:c r="C14" s="7"/>
      <x:c r="D14" s="7"/>
      <x:c r="E14" s="7" t="n">
        <x:f>SUM(E7:E13)</x:f>
        <x:v>3673450.2</x:v>
      </x:c>
      <x:c r="F14" s="7" t="n">
        <x:f>SUM(F7:F13)</x:f>
        <x:v>3498523.9999999995</x:v>
      </x:c>
      <x:c r="G14" s="7" t="n">
        <x:f>SUM(G7:G13)</x:f>
        <x:v>472250.79999999993</x:v>
      </x:c>
      <x:c r="H14" s="7" t="n">
        <x:f>SUM(H7:H13)</x:f>
        <x:v>73469.004</x:v>
      </x:c>
      <x:c r="I14" s="7" t="n">
        <x:f>SUM(I7:I13)</x:f>
        <x:v>2952804.1959999995</x:v>
      </x:c>
      <x:c r="J14" s="7" t="n">
        <x:f>SUM(J7:J13)</x:f>
        <x:v>1263117.038333333</x:v>
      </x:c>
      <x:c r="K14" s="7" t="n">
        <x:f>SUM(K7:K13)</x:f>
        <x:v>209911.43999999997</x:v>
      </x:c>
      <x:c r="L14" s="7" t="n">
        <x:f>SUM(L7:L13)</x:f>
        <x:v>69970.47999999998</x:v>
      </x:c>
      <x:c r="M14" s="7" t="n">
        <x:f>SUM(M7:M13)</x:f>
        <x:v>1409805.2376666667</x:v>
      </x:c>
      <x:c r="N14" s="20" t="n">
        <x:f>SUM(N7:N13)</x:f>
        <x:v>0.9999999999999998</x:v>
      </x:c>
      <x:c r="O14" s="7" t="n">
        <x:f>SUM(O7:O13)</x:f>
        <x:v>16619141.355000002</x:v>
      </x:c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/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/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/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Управленческое распределение</x:v>
      </x:c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 t="str">
        <x:v>Общие расходы и стартовый бюджет распределены по редактируемым весам, не по доказанной причинности.</x:v>
      </x:c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 t="str">
        <x:v>Окупаемость зоны — простой показатель стабильного месяца, без разгона. Окупаемость центра — по накопленному потоку.</x:v>
      </x:c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 t="str">
        <x:v>Модель не прибавляет выручку от шахмат: это бесплатное удобство кафе.</x:v>
      </x:c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/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/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19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RR-FEC-250 | Поток 48 мес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Мес</x:v>
      </x:c>
      <x:c r="B6" s="25" t="str">
        <x:v>Разгон × сезон</x:v>
      </x:c>
      <x:c r="C6" s="24" t="str">
        <x:v>Билеты</x:v>
      </x:c>
      <x:c r="D6" s="24" t="str">
        <x:v>Техно</x:v>
      </x:c>
      <x:c r="E6" s="24" t="str">
        <x:v>Аркады</x:v>
      </x:c>
      <x:c r="F6" s="24" t="str">
        <x:v>Праздники</x:v>
      </x:c>
      <x:c r="G6" s="24" t="str">
        <x:v>Кафе</x:v>
      </x:c>
      <x:c r="H6" s="24" t="str">
        <x:v>Мастер-классы</x:v>
      </x:c>
      <x:c r="I6" s="24" t="str">
        <x:v>Фото</x:v>
      </x:c>
      <x:c r="J6" s="24" t="str">
        <x:v>Платежи</x:v>
      </x:c>
      <x:c r="K6" s="24" t="str">
        <x:v>Без НДС</x:v>
      </x:c>
      <x:c r="L6" s="24" t="str">
        <x:v>Прямые</x:v>
      </x:c>
      <x:c r="M6" s="24" t="str">
        <x:v>Эквайринг</x:v>
      </x:c>
      <x:c r="N6" s="24" t="str">
        <x:v>Постоянные</x:v>
      </x:c>
      <x:c r="O6" s="24" t="str">
        <x:v>Налог</x:v>
      </x:c>
      <x:c r="P6" s="24" t="str">
        <x:v>Обновление</x:v>
      </x:c>
      <x:c r="Q6" s="24" t="str">
        <x:v>EBITDA</x:v>
      </x:c>
      <x:c r="R6" s="1" t="str">
        <x:v>Поток</x:v>
      </x:c>
      <x:c r="S6" s="1" t="str">
        <x:v>Накопленный</x:v>
      </x:c>
      <x:c r="T6" s="1" t="str">
        <x:v>Окуп. мес</x:v>
      </x:c>
      <x:c r="U6" s="1" t="str">
        <x:v>Дети/час сред.</x:v>
      </x:c>
      <x:c r="V6" s="1"/>
      <x:c r="W6" s="1"/>
    </x:row>
    <x:row r="7" ht="23" customHeight="1">
      <x:c r="A7" s="1" t="n">
        <x:v>1</x:v>
      </x:c>
      <x:c r="B7" s="17" t="n">
        <x:f>'Допущения'!C42*'Допущения'!D42</x:f>
        <x:v>0.5033898305084746</x:v>
      </x:c>
      <x:c r="C7" s="9" t="n">
        <x:f>'Допущения'!C31*'Допущения'!$B$8*'Допущения'!D31*$B7*(1+'Допущения'!$B$13)^0</x:f>
        <x:v>1007856.9152542372</x:v>
      </x:c>
      <x:c r="D7" s="9" t="n">
        <x:f>'Допущения'!C32*'Допущения'!$B$8*'Допущения'!D32*$B7*(1+'Допущения'!$B$13)^0</x:f>
        <x:v>47993.18644067797</x:v>
      </x:c>
      <x:c r="E7" s="9" t="n">
        <x:f>'Допущения'!C33*'Допущения'!$B$8*'Допущения'!D33*$B7*(1+'Допущения'!$B$13)^0</x:f>
        <x:v>181414.2447457627</x:v>
      </x:c>
      <x:c r="F7" s="9" t="n">
        <x:f>'Допущения'!C34*'Допущения'!$B$8*'Допущения'!D34*$B7*(1+'Допущения'!$B$13)^0</x:f>
        <x:v>215969.33898305087</x:v>
      </x:c>
      <x:c r="G7" s="9" t="n">
        <x:f>'Допущения'!C35*'Допущения'!$B$8*'Допущения'!D35*$B7*(1+'Допущения'!$B$13)^0</x:f>
        <x:v>359948.8983050848</x:v>
      </x:c>
      <x:c r="H7" s="9" t="n">
        <x:f>'Допущения'!C36*'Допущения'!$B$8*'Допущения'!D36*$B7*(1+'Допущения'!$B$13)^0</x:f>
        <x:v>35994.88983050848</x:v>
      </x:c>
      <x:c r="I7" s="9" t="n">
        <x:f>'Допущения'!C37*'Допущения'!$B$8*'Допущения'!D37*$B7*(1+'Допущения'!$B$13)^0</x:f>
        <x:v>0</x:v>
      </x:c>
      <x:c r="J7" s="7" t="n">
        <x:f>SUM(C7:I7)</x:f>
        <x:v>1849177.473559322</x:v>
      </x:c>
      <x:c r="K7" s="9" t="n">
        <x:f>J7/(1+'Допущения'!$B$9)</x:f>
        <x:v>1761121.4033898304</x:v>
      </x:c>
      <x:c r="L7" s="9" t="n">
        <x:f>C7/(1+'Допущения'!$B$9)*'Допущения'!E31+'Допущения'!C31*'Допущения'!$B$8*$B7*'Допущения'!F31*(1+'Допущения'!$B$14)^0+D7/(1+'Допущения'!$B$9)*'Допущения'!E32+'Допущения'!C32*'Допущения'!$B$8*$B7*'Допущения'!F32*(1+'Допущения'!$B$14)^0+E7/(1+'Допущения'!$B$9)*'Допущения'!E33+'Допущения'!C33*'Допущения'!$B$8*$B7*'Допущения'!F33*(1+'Допущения'!$B$14)^0+F7/(1+'Допущения'!$B$9)*'Допущения'!E34+'Допущения'!C34*'Допущения'!$B$8*$B7*'Допущения'!F34*(1+'Допущения'!$B$14)^0+G7/(1+'Допущения'!$B$9)*'Допущения'!E35+'Допущения'!C35*'Допущения'!$B$8*$B7*'Допущения'!F35*(1+'Допущения'!$B$14)^0+H7/(1+'Допущения'!$B$9)*'Допущения'!E36+'Допущения'!C36*'Допущения'!$B$8*$B7*'Допущения'!F36*(1+'Допущения'!$B$14)^0+I7/(1+'Допущения'!$B$9)*'Допущения'!E37+'Допущения'!C37*'Допущения'!$B$8*$B7*'Допущения'!F37*(1+'Допущения'!$B$14)^0</x:f>
        <x:v>237726.2501694915</x:v>
      </x:c>
      <x:c r="M7" s="9" t="n">
        <x:f>J7*'Допущения'!$B$11</x:f>
        <x:v>36983.549471186445</x:v>
      </x:c>
      <x:c r="N7" s="9" t="n">
        <x:f>'Инвестиции'!$C$35*(1+'Допущения'!$B$14)^0</x:f>
        <x:v>1263117.0383333333</x:v>
      </x:c>
      <x:c r="O7" s="9" t="n">
        <x:f>K7*'Допущения'!$B$10</x:f>
        <x:v>105667.28420338982</x:v>
      </x:c>
      <x:c r="P7" s="9" t="n">
        <x:f>K7*'Допущения'!$B$12</x:f>
        <x:v>35222.42806779661</x:v>
      </x:c>
      <x:c r="Q7" s="7" t="n">
        <x:f>K7-L7-M7-N7</x:f>
        <x:v>223294.56541581894</x:v>
      </x:c>
      <x:c r="R7" s="7" t="n">
        <x:f>Q7-O7-P7</x:f>
        <x:v>82404.8531446325</x:v>
      </x:c>
      <x:c r="S7" s="9" t="n">
        <x:f>R7-'Инвестиции'!C21</x:f>
        <x:v>-16536736.501855368</x:v>
      </x:c>
      <x:c r="T7" s="7" t="n">
        <x:f>IF(S7&gt;=0,A7,999)</x:f>
        <x:v>999</x:v>
      </x:c>
      <x:c r="U7" s="22" t="n">
        <x:f>'Допущения'!C31*'Допущения'!$B$8*B7*'Допущения'!$B$17/'Допущения'!$B$18/'Допущения'!$B$16</x:f>
        <x:v>10.907542372881355</x:v>
      </x:c>
      <x:c r="V7" s="7"/>
      <x:c r="W7" s="7"/>
    </x:row>
    <x:row r="8" ht="23" customHeight="1">
      <x:c r="A8" s="1" t="n">
        <x:v>2</x:v>
      </x:c>
      <x:c r="B8" s="17" t="n">
        <x:f>'Допущения'!C43*'Допущения'!D43</x:f>
        <x:v>0.5872881355932205</x:v>
      </x:c>
      <x:c r="C8" s="9" t="n">
        <x:f>'Допущения'!C31*'Допущения'!$B$8*'Допущения'!D31*$B8*(1+'Допущения'!$B$13)^0</x:f>
        <x:v>1175833.0677966103</x:v>
      </x:c>
      <x:c r="D8" s="9" t="n">
        <x:f>'Допущения'!C32*'Допущения'!$B$8*'Допущения'!D32*$B8*(1+'Допущения'!$B$13)^0</x:f>
        <x:v>55992.05084745764</x:v>
      </x:c>
      <x:c r="E8" s="9" t="n">
        <x:f>'Допущения'!C33*'Допущения'!$B$8*'Допущения'!D33*$B8*(1+'Допущения'!$B$13)^0</x:f>
        <x:v>211649.95220338984</x:v>
      </x:c>
      <x:c r="F8" s="9" t="n">
        <x:f>'Допущения'!C34*'Допущения'!$B$8*'Допущения'!D34*$B8*(1+'Допущения'!$B$13)^0</x:f>
        <x:v>251964.22881355937</x:v>
      </x:c>
      <x:c r="G8" s="9" t="n">
        <x:f>'Допущения'!C35*'Допущения'!$B$8*'Допущения'!D35*$B8*(1+'Допущения'!$B$13)^0</x:f>
        <x:v>419940.3813559323</x:v>
      </x:c>
      <x:c r="H8" s="9" t="n">
        <x:f>'Допущения'!C36*'Допущения'!$B$8*'Допущения'!D36*$B8*(1+'Допущения'!$B$13)^0</x:f>
        <x:v>41994.038135593226</x:v>
      </x:c>
      <x:c r="I8" s="9" t="n">
        <x:f>'Допущения'!C37*'Допущения'!$B$8*'Допущения'!D37*$B8*(1+'Допущения'!$B$13)^0</x:f>
        <x:v>0</x:v>
      </x:c>
      <x:c r="J8" s="7" t="n">
        <x:f>SUM(C8:I8)</x:f>
        <x:v>2157373.7191525428</x:v>
      </x:c>
      <x:c r="K8" s="9" t="n">
        <x:f>J8/(1+'Допущения'!$B$9)</x:f>
        <x:v>2054641.637288136</x:v>
      </x:c>
      <x:c r="L8" s="9" t="n">
        <x:f>C8/(1+'Допущения'!$B$9)*'Допущения'!E31+'Допущения'!C31*'Допущения'!$B$8*$B8*'Допущения'!F31*(1+'Допущения'!$B$14)^0+D8/(1+'Допущения'!$B$9)*'Допущения'!E32+'Допущения'!C32*'Допущения'!$B$8*$B8*'Допущения'!F32*(1+'Допущения'!$B$14)^0+E8/(1+'Допущения'!$B$9)*'Допущения'!E33+'Допущения'!C33*'Допущения'!$B$8*$B8*'Допущения'!F33*(1+'Допущения'!$B$14)^0+F8/(1+'Допущения'!$B$9)*'Допущения'!E34+'Допущения'!C34*'Допущения'!$B$8*$B8*'Допущения'!F34*(1+'Допущения'!$B$14)^0+G8/(1+'Допущения'!$B$9)*'Допущения'!E35+'Допущения'!C35*'Допущения'!$B$8*$B8*'Допущения'!F35*(1+'Допущения'!$B$14)^0+H8/(1+'Допущения'!$B$9)*'Допущения'!E36+'Допущения'!C36*'Допущения'!$B$8*$B8*'Допущения'!F36*(1+'Допущения'!$B$14)^0+I8/(1+'Допущения'!$B$9)*'Допущения'!E37+'Допущения'!C37*'Допущения'!$B$8*$B8*'Допущения'!F37*(1+'Допущения'!$B$14)^0</x:f>
        <x:v>277347.29186440684</x:v>
      </x:c>
      <x:c r="M8" s="9" t="n">
        <x:f>J8*'Допущения'!$B$11</x:f>
        <x:v>43147.47438305086</x:v>
      </x:c>
      <x:c r="N8" s="9" t="n">
        <x:f>'Инвестиции'!$C$35*(1+'Допущения'!$B$14)^0</x:f>
        <x:v>1263117.0383333333</x:v>
      </x:c>
      <x:c r="O8" s="9" t="n">
        <x:f>K8*'Допущения'!$B$10</x:f>
        <x:v>123278.49823728815</x:v>
      </x:c>
      <x:c r="P8" s="9" t="n">
        <x:f>K8*'Допущения'!$B$12</x:f>
        <x:v>41092.83274576272</x:v>
      </x:c>
      <x:c r="Q8" s="7" t="n">
        <x:f>K8-L8-M8-N8</x:f>
        <x:v>471029.832707345</x:v>
      </x:c>
      <x:c r="R8" s="7" t="n">
        <x:f>Q8-O8-P8</x:f>
        <x:v>306658.50172429415</x:v>
      </x:c>
      <x:c r="S8" s="7" t="n">
        <x:f>S7+R8</x:f>
        <x:v>-16230078.000131074</x:v>
      </x:c>
      <x:c r="T8" s="7" t="n">
        <x:f>IF(S8&gt;=0,A8,999)</x:f>
        <x:v>999</x:v>
      </x:c>
      <x:c r="U8" s="22" t="n">
        <x:f>'Допущения'!C31*'Допущения'!$B$8*B8*'Допущения'!$B$17/'Допущения'!$B$18/'Допущения'!$B$16</x:f>
        <x:v>12.725466101694918</x:v>
      </x:c>
      <x:c r="V8" s="7"/>
      <x:c r="W8" s="7"/>
    </x:row>
    <x:row r="9" ht="23" customHeight="1">
      <x:c r="A9" s="1" t="n">
        <x:v>3</x:v>
      </x:c>
      <x:c r="B9" s="17" t="n">
        <x:f>'Допущения'!C44*'Допущения'!D44</x:f>
        <x:v>0.6610169491525424</x:v>
      </x:c>
      <x:c r="C9" s="9" t="n">
        <x:f>'Допущения'!C31*'Допущения'!$B$8*'Допущения'!D31*$B9*(1+'Допущения'!$B$13)^0</x:f>
        <x:v>1323448.4745762711</x:v>
      </x:c>
      <x:c r="D9" s="9" t="n">
        <x:f>'Допущения'!C32*'Допущения'!$B$8*'Допущения'!D32*$B9*(1+'Допущения'!$B$13)^0</x:f>
        <x:v>63021.35593220339</x:v>
      </x:c>
      <x:c r="E9" s="9" t="n">
        <x:f>'Допущения'!C33*'Допущения'!$B$8*'Допущения'!D33*$B9*(1+'Допущения'!$B$13)^0</x:f>
        <x:v>238220.72542372879</x:v>
      </x:c>
      <x:c r="F9" s="9" t="n">
        <x:f>'Допущения'!C34*'Допущения'!$B$8*'Допущения'!D34*$B9*(1+'Допущения'!$B$13)^0</x:f>
        <x:v>283596.10169491527</x:v>
      </x:c>
      <x:c r="G9" s="9" t="n">
        <x:f>'Допущения'!C35*'Допущения'!$B$8*'Допущения'!D35*$B9*(1+'Допущения'!$B$13)^0</x:f>
        <x:v>472660.16949152545</x:v>
      </x:c>
      <x:c r="H9" s="9" t="n">
        <x:f>'Допущения'!C36*'Допущения'!$B$8*'Допущения'!D36*$B9*(1+'Допущения'!$B$13)^0</x:f>
        <x:v>47266.016949152545</x:v>
      </x:c>
      <x:c r="I9" s="9" t="n">
        <x:f>'Допущения'!C37*'Допущения'!$B$8*'Допущения'!D37*$B9*(1+'Допущения'!$B$13)^0</x:f>
        <x:v>0</x:v>
      </x:c>
      <x:c r="J9" s="7" t="n">
        <x:f>SUM(C9:I9)</x:f>
        <x:v>2428212.8440677966</x:v>
      </x:c>
      <x:c r="K9" s="9" t="n">
        <x:f>J9/(1+'Допущения'!$B$9)</x:f>
        <x:v>2312583.661016949</x:v>
      </x:c>
      <x:c r="L9" s="9" t="n">
        <x:f>C9/(1+'Допущения'!$B$9)*'Допущения'!E31+'Допущения'!C31*'Допущения'!$B$8*$B9*'Допущения'!F31*(1+'Допущения'!$B$14)^0+D9/(1+'Допущения'!$B$9)*'Допущения'!E32+'Допущения'!C32*'Допущения'!$B$8*$B9*'Допущения'!F32*(1+'Допущения'!$B$14)^0+E9/(1+'Допущения'!$B$9)*'Допущения'!E33+'Допущения'!C33*'Допущения'!$B$8*$B9*'Допущения'!F33*(1+'Допущения'!$B$14)^0+F9/(1+'Допущения'!$B$9)*'Допущения'!E34+'Допущения'!C34*'Допущения'!$B$8*$B9*'Допущения'!F34*(1+'Допущения'!$B$14)^0+G9/(1+'Допущения'!$B$9)*'Допущения'!E35+'Допущения'!C35*'Допущения'!$B$8*$B9*'Допущения'!F35*(1+'Допущения'!$B$14)^0+H9/(1+'Допущения'!$B$9)*'Допущения'!E36+'Допущения'!C36*'Допущения'!$B$8*$B9*'Допущения'!F36*(1+'Допущения'!$B$14)^0+I9/(1+'Допущения'!$B$9)*'Допущения'!E37+'Допущения'!C37*'Допущения'!$B$8*$B9*'Допущения'!F37*(1+'Допущения'!$B$14)^0</x:f>
        <x:v>312165.7830508475</x:v>
      </x:c>
      <x:c r="M9" s="9" t="n">
        <x:f>J9*'Допущения'!$B$11</x:f>
        <x:v>48564.256881355934</x:v>
      </x:c>
      <x:c r="N9" s="9" t="n">
        <x:f>'Инвестиции'!$C$35*(1+'Допущения'!$B$14)^0</x:f>
        <x:v>1263117.0383333333</x:v>
      </x:c>
      <x:c r="O9" s="9" t="n">
        <x:f>K9*'Допущения'!$B$10</x:f>
        <x:v>138755.01966101694</x:v>
      </x:c>
      <x:c r="P9" s="9" t="n">
        <x:f>K9*'Допущения'!$B$12</x:f>
        <x:v>46251.673220338984</x:v>
      </x:c>
      <x:c r="Q9" s="7" t="n">
        <x:f>K9-L9-M9-N9</x:f>
        <x:v>688736.5827514122</x:v>
      </x:c>
      <x:c r="R9" s="7" t="n">
        <x:f>Q9-O9-P9</x:f>
        <x:v>503729.8898700562</x:v>
      </x:c>
      <x:c r="S9" s="7" t="n">
        <x:f>S8+R9</x:f>
        <x:v>-15726348.110261017</x:v>
      </x:c>
      <x:c r="T9" s="7" t="n">
        <x:f>IF(S9&gt;=0,A9,999)</x:f>
        <x:v>999</x:v>
      </x:c>
      <x:c r="U9" s="22" t="n">
        <x:f>'Допущения'!C31*'Допущения'!$B$8*B9*'Допущения'!$B$17/'Допущения'!$B$18/'Допущения'!$B$16</x:f>
        <x:v>14.323035439137131</x:v>
      </x:c>
      <x:c r="V9" s="7"/>
      <x:c r="W9" s="7"/>
    </x:row>
    <x:row r="10" ht="23" customHeight="1">
      <x:c r="A10" s="1" t="n">
        <x:v>4</x:v>
      </x:c>
      <x:c r="B10" s="17" t="n">
        <x:f>'Допущения'!C45*'Допущения'!D45</x:f>
        <x:v>0.6864406779661016</x:v>
      </x:c>
      <x:c r="C10" s="9" t="n">
        <x:f>'Допущения'!C31*'Допущения'!$B$8*'Допущения'!D31*$B10*(1+'Допущения'!$B$13)^0</x:f>
        <x:v>1374350.3389830505</x:v>
      </x:c>
      <x:c r="D10" s="9" t="n">
        <x:f>'Допущения'!C32*'Допущения'!$B$8*'Допущения'!D32*$B10*(1+'Допущения'!$B$13)^0</x:f>
        <x:v>65445.25423728813</x:v>
      </x:c>
      <x:c r="E10" s="9" t="n">
        <x:f>'Допущения'!C33*'Допущения'!$B$8*'Допущения'!D33*$B10*(1+'Допущения'!$B$13)^0</x:f>
        <x:v>247383.0610169491</x:v>
      </x:c>
      <x:c r="F10" s="9" t="n">
        <x:f>'Допущения'!C34*'Допущения'!$B$8*'Допущения'!D34*$B10*(1+'Допущения'!$B$13)^0</x:f>
        <x:v>294503.6440677966</x:v>
      </x:c>
      <x:c r="G10" s="9" t="n">
        <x:f>'Допущения'!C35*'Допущения'!$B$8*'Допущения'!D35*$B10*(1+'Допущения'!$B$13)^0</x:f>
        <x:v>490839.40677966096</x:v>
      </x:c>
      <x:c r="H10" s="9" t="n">
        <x:f>'Допущения'!C36*'Допущения'!$B$8*'Допущения'!D36*$B10*(1+'Допущения'!$B$13)^0</x:f>
        <x:v>49083.9406779661</x:v>
      </x:c>
      <x:c r="I10" s="9" t="n">
        <x:f>'Допущения'!C37*'Допущения'!$B$8*'Допущения'!D37*$B10*(1+'Допущения'!$B$13)^0</x:f>
        <x:v>0</x:v>
      </x:c>
      <x:c r="J10" s="7" t="n">
        <x:f>SUM(C10:I10)</x:f>
        <x:v>2521605.6457627113</x:v>
      </x:c>
      <x:c r="K10" s="9" t="n">
        <x:f>J10/(1+'Допущения'!$B$9)</x:f>
        <x:v>2401529.1864406774</x:v>
      </x:c>
      <x:c r="L10" s="9" t="n">
        <x:f>C10/(1+'Допущения'!$B$9)*'Допущения'!E31+'Допущения'!C31*'Допущения'!$B$8*$B10*'Допущения'!F31*(1+'Допущения'!$B$14)^0+D10/(1+'Допущения'!$B$9)*'Допущения'!E32+'Допущения'!C32*'Допущения'!$B$8*$B10*'Допущения'!F32*(1+'Допущения'!$B$14)^0+E10/(1+'Допущения'!$B$9)*'Допущения'!E33+'Допущения'!C33*'Допущения'!$B$8*$B10*'Допущения'!F33*(1+'Допущения'!$B$14)^0+F10/(1+'Допущения'!$B$9)*'Допущения'!E34+'Допущения'!C34*'Допущения'!$B$8*$B10*'Допущения'!F34*(1+'Допущения'!$B$14)^0+G10/(1+'Допущения'!$B$9)*'Допущения'!E35+'Допущения'!C35*'Допущения'!$B$8*$B10*'Допущения'!F35*(1+'Допущения'!$B$14)^0+H10/(1+'Допущения'!$B$9)*'Допущения'!E36+'Допущения'!C36*'Допущения'!$B$8*$B10*'Допущения'!F36*(1+'Допущения'!$B$14)^0+I10/(1+'Допущения'!$B$9)*'Допущения'!E37+'Допущения'!C37*'Допущения'!$B$8*$B10*'Допущения'!F37*(1+'Допущения'!$B$14)^0</x:f>
        <x:v>324172.15932203387</x:v>
      </x:c>
      <x:c r="M10" s="9" t="n">
        <x:f>J10*'Допущения'!$B$11</x:f>
        <x:v>50432.11291525423</x:v>
      </x:c>
      <x:c r="N10" s="9" t="n">
        <x:f>'Инвестиции'!$C$35*(1+'Допущения'!$B$14)^0</x:f>
        <x:v>1263117.0383333333</x:v>
      </x:c>
      <x:c r="O10" s="9" t="n">
        <x:f>K10*'Допущения'!$B$10</x:f>
        <x:v>144091.75118644064</x:v>
      </x:c>
      <x:c r="P10" s="9" t="n">
        <x:f>K10*'Допущения'!$B$12</x:f>
        <x:v>48030.58372881355</x:v>
      </x:c>
      <x:c r="Q10" s="7" t="n">
        <x:f>K10-L10-M10-N10</x:f>
        <x:v>763807.875870056</x:v>
      </x:c>
      <x:c r="R10" s="7" t="n">
        <x:f>Q10-O10-P10</x:f>
        <x:v>571685.5409548017</x:v>
      </x:c>
      <x:c r="S10" s="7" t="n">
        <x:f>S9+R10</x:f>
        <x:v>-15154662.569306215</x:v>
      </x:c>
      <x:c r="T10" s="7" t="n">
        <x:f>IF(S10&gt;=0,A10,999)</x:f>
        <x:v>999</x:v>
      </x:c>
      <x:c r="U10" s="22" t="n">
        <x:f>'Допущения'!C31*'Допущения'!$B$8*B10*'Допущения'!$B$17/'Допущения'!$B$18/'Допущения'!$B$16</x:f>
        <x:v>14.873921417565482</x:v>
      </x:c>
      <x:c r="V10" s="7"/>
      <x:c r="W10" s="7"/>
    </x:row>
    <x:row r="11" ht="23" customHeight="1">
      <x:c r="A11" s="1" t="n">
        <x:v>5</x:v>
      </x:c>
      <x:c r="B11" s="17" t="n">
        <x:f>'Допущения'!C46*'Допущения'!D46</x:f>
        <x:v>0.7347457627118643</x:v>
      </x:c>
      <x:c r="C11" s="9" t="n">
        <x:f>'Допущения'!C31*'Допущения'!$B$8*'Допущения'!D31*$B11*(1+'Допущения'!$B$13)^0</x:f>
        <x:v>1471063.8813559317</x:v>
      </x:c>
      <x:c r="D11" s="9" t="n">
        <x:f>'Допущения'!C32*'Допущения'!$B$8*'Допущения'!D32*$B11*(1+'Допущения'!$B$13)^0</x:f>
        <x:v>70050.66101694915</x:v>
      </x:c>
      <x:c r="E11" s="9" t="n">
        <x:f>'Допущения'!C33*'Допущения'!$B$8*'Допущения'!D33*$B11*(1+'Допущения'!$B$13)^0</x:f>
        <x:v>264791.49864406773</x:v>
      </x:c>
      <x:c r="F11" s="9" t="n">
        <x:f>'Допущения'!C34*'Допущения'!$B$8*'Допущения'!D34*$B11*(1+'Допущения'!$B$13)^0</x:f>
        <x:v>315227.97457627114</x:v>
      </x:c>
      <x:c r="G11" s="9" t="n">
        <x:f>'Допущения'!C35*'Допущения'!$B$8*'Допущения'!D35*$B11*(1+'Допущения'!$B$13)^0</x:f>
        <x:v>525379.9576271186</x:v>
      </x:c>
      <x:c r="H11" s="9" t="n">
        <x:f>'Допущения'!C36*'Допущения'!$B$8*'Допущения'!D36*$B11*(1+'Допущения'!$B$13)^0</x:f>
        <x:v>52537.99576271186</x:v>
      </x:c>
      <x:c r="I11" s="9" t="n">
        <x:f>'Допущения'!C37*'Допущения'!$B$8*'Допущения'!D37*$B11*(1+'Допущения'!$B$13)^0</x:f>
        <x:v>0</x:v>
      </x:c>
      <x:c r="J11" s="7" t="n">
        <x:f>SUM(C11:I11)</x:f>
        <x:v>2699051.96898305</x:v>
      </x:c>
      <x:c r="K11" s="9" t="n">
        <x:f>J11/(1+'Допущения'!$B$9)</x:f>
        <x:v>2570525.6847457616</x:v>
      </x:c>
      <x:c r="L11" s="9" t="n">
        <x:f>C11/(1+'Допущения'!$B$9)*'Допущения'!E31+'Допущения'!C31*'Допущения'!$B$8*$B11*'Допущения'!F31*(1+'Допущения'!$B$14)^0+D11/(1+'Допущения'!$B$9)*'Допущения'!E32+'Допущения'!C32*'Допущения'!$B$8*$B11*'Допущения'!F32*(1+'Допущения'!$B$14)^0+E11/(1+'Допущения'!$B$9)*'Допущения'!E33+'Допущения'!C33*'Допущения'!$B$8*$B11*'Допущения'!F33*(1+'Допущения'!$B$14)^0+F11/(1+'Допущения'!$B$9)*'Допущения'!E34+'Допущения'!C34*'Допущения'!$B$8*$B11*'Допущения'!F34*(1+'Допущения'!$B$14)^0+G11/(1+'Допущения'!$B$9)*'Допущения'!E35+'Допущения'!C35*'Допущения'!$B$8*$B11*'Допущения'!F35*(1+'Допущения'!$B$14)^0+H11/(1+'Допущения'!$B$9)*'Допущения'!E36+'Допущения'!C36*'Допущения'!$B$8*$B11*'Допущения'!F36*(1+'Допущения'!$B$14)^0+I11/(1+'Допущения'!$B$9)*'Допущения'!E37+'Допущения'!C37*'Допущения'!$B$8*$B11*'Допущения'!F37*(1+'Допущения'!$B$14)^0</x:f>
        <x:v>346984.2742372881</x:v>
      </x:c>
      <x:c r="M11" s="9" t="n">
        <x:f>J11*'Допущения'!$B$11</x:f>
        <x:v>53981.039379661</x:v>
      </x:c>
      <x:c r="N11" s="9" t="n">
        <x:f>'Инвестиции'!$C$35*(1+'Допущения'!$B$14)^0</x:f>
        <x:v>1263117.0383333333</x:v>
      </x:c>
      <x:c r="O11" s="9" t="n">
        <x:f>K11*'Допущения'!$B$10</x:f>
        <x:v>154231.5410847457</x:v>
      </x:c>
      <x:c r="P11" s="9" t="n">
        <x:f>K11*'Допущения'!$B$12</x:f>
        <x:v>51410.51369491523</x:v>
      </x:c>
      <x:c r="Q11" s="7" t="n">
        <x:f>K11-L11-M11-N11</x:f>
        <x:v>906443.3327954791</x:v>
      </x:c>
      <x:c r="R11" s="7" t="n">
        <x:f>Q11-O11-P11</x:f>
        <x:v>700801.2780158182</x:v>
      </x:c>
      <x:c r="S11" s="7" t="n">
        <x:f>S10+R11</x:f>
        <x:v>-14453861.291290397</x:v>
      </x:c>
      <x:c r="T11" s="7" t="n">
        <x:f>IF(S11&gt;=0,A11,999)</x:f>
        <x:v>999</x:v>
      </x:c>
      <x:c r="U11" s="22" t="n">
        <x:f>'Допущения'!C31*'Допущения'!$B$8*B11*'Допущения'!$B$17/'Допущения'!$B$18/'Допущения'!$B$16</x:f>
        <x:v>15.920604776579351</x:v>
      </x:c>
      <x:c r="V11" s="7"/>
      <x:c r="W11" s="7"/>
    </x:row>
    <x:row r="12" ht="23" customHeight="1">
      <x:c r="A12" s="1" t="n">
        <x:v>6</x:v>
      </x:c>
      <x:c r="B12" s="17" t="n">
        <x:f>'Допущения'!C47*'Допущения'!D47</x:f>
        <x:v>0.6406779661016948</x:v>
      </x:c>
      <x:c r="C12" s="9" t="n">
        <x:f>'Допущения'!C31*'Допущения'!$B$8*'Допущения'!D31*$B12*(1+'Допущения'!$B$13)^0</x:f>
        <x:v>1282726.9830508472</x:v>
      </x:c>
      <x:c r="D12" s="9" t="n">
        <x:f>'Допущения'!C32*'Допущения'!$B$8*'Допущения'!D32*$B12*(1+'Допущения'!$B$13)^0</x:f>
        <x:v>61082.237288135584</x:v>
      </x:c>
      <x:c r="E12" s="9" t="n">
        <x:f>'Допущения'!C33*'Допущения'!$B$8*'Допущения'!D33*$B12*(1+'Допущения'!$B$13)^0</x:f>
        <x:v>230890.85694915248</x:v>
      </x:c>
      <x:c r="F12" s="9" t="n">
        <x:f>'Допущения'!C34*'Допущения'!$B$8*'Допущения'!D34*$B12*(1+'Допущения'!$B$13)^0</x:f>
        <x:v>274870.0677966101</x:v>
      </x:c>
      <x:c r="G12" s="9" t="n">
        <x:f>'Допущения'!C35*'Допущения'!$B$8*'Допущения'!D35*$B12*(1+'Допущения'!$B$13)^0</x:f>
        <x:v>458116.7796610169</x:v>
      </x:c>
      <x:c r="H12" s="9" t="n">
        <x:f>'Допущения'!C36*'Допущения'!$B$8*'Допущения'!D36*$B12*(1+'Допущения'!$B$13)^0</x:f>
        <x:v>45811.677966101684</x:v>
      </x:c>
      <x:c r="I12" s="9" t="n">
        <x:f>'Допущения'!C37*'Допущения'!$B$8*'Допущения'!D37*$B12*(1+'Допущения'!$B$13)^0</x:f>
        <x:v>0</x:v>
      </x:c>
      <x:c r="J12" s="7" t="n">
        <x:f>SUM(C12:I12)</x:f>
        <x:v>2353498.602711864</x:v>
      </x:c>
      <x:c r="K12" s="9" t="n">
        <x:f>J12/(1+'Допущения'!$B$9)</x:f>
        <x:v>2241427.2406779653</x:v>
      </x:c>
      <x:c r="L12" s="9" t="n">
        <x:f>C12/(1+'Допущения'!$B$9)*'Допущения'!E31+'Допущения'!C31*'Допущения'!$B$8*$B12*'Допущения'!F31*(1+'Допущения'!$B$14)^0+D12/(1+'Допущения'!$B$9)*'Допущения'!E32+'Допущения'!C32*'Допущения'!$B$8*$B12*'Допущения'!F32*(1+'Допущения'!$B$14)^0+E12/(1+'Допущения'!$B$9)*'Допущения'!E33+'Допущения'!C33*'Допущения'!$B$8*$B12*'Допущения'!F33*(1+'Допущения'!$B$14)^0+F12/(1+'Допущения'!$B$9)*'Допущения'!E34+'Допущения'!C34*'Допущения'!$B$8*$B12*'Допущения'!F34*(1+'Допущения'!$B$14)^0+G12/(1+'Допущения'!$B$9)*'Допущения'!E35+'Допущения'!C35*'Допущения'!$B$8*$B12*'Допущения'!F35*(1+'Допущения'!$B$14)^0+H12/(1+'Допущения'!$B$9)*'Допущения'!E36+'Допущения'!C36*'Допущения'!$B$8*$B12*'Допущения'!F36*(1+'Допущения'!$B$14)^0+I12/(1+'Допущения'!$B$9)*'Допущения'!E37+'Допущения'!C37*'Допущения'!$B$8*$B12*'Допущения'!F37*(1+'Допущения'!$B$14)^0</x:f>
        <x:v>302560.6820338982</x:v>
      </x:c>
      <x:c r="M12" s="9" t="n">
        <x:f>J12*'Допущения'!$B$11</x:f>
        <x:v>47069.972054237274</x:v>
      </x:c>
      <x:c r="N12" s="9" t="n">
        <x:f>'Инвестиции'!$C$35*(1+'Допущения'!$B$14)^0</x:f>
        <x:v>1263117.0383333333</x:v>
      </x:c>
      <x:c r="O12" s="9" t="n">
        <x:f>K12*'Допущения'!$B$10</x:f>
        <x:v>134485.6344406779</x:v>
      </x:c>
      <x:c r="P12" s="9" t="n">
        <x:f>K12*'Допущения'!$B$12</x:f>
        <x:v>44828.54481355931</x:v>
      </x:c>
      <x:c r="Q12" s="7" t="n">
        <x:f>K12-L12-M12-N12</x:f>
        <x:v>628679.5482564964</x:v>
      </x:c>
      <x:c r="R12" s="7" t="n">
        <x:f>Q12-O12-P12</x:f>
        <x:v>449365.36900225916</x:v>
      </x:c>
      <x:c r="S12" s="7" t="n">
        <x:f>S11+R12</x:f>
        <x:v>-14004495.922288138</x:v>
      </x:c>
      <x:c r="T12" s="7" t="n">
        <x:f>IF(S12&gt;=0,A12,999)</x:f>
        <x:v>999</x:v>
      </x:c>
      <x:c r="U12" s="22" t="n">
        <x:f>'Допущения'!C31*'Допущения'!$B$8*B12*'Допущения'!$B$17/'Допущения'!$B$18/'Допущения'!$B$16</x:f>
        <x:v>13.88232665639445</x:v>
      </x:c>
      <x:c r="V12" s="7"/>
      <x:c r="W12" s="7"/>
    </x:row>
    <x:row r="13" ht="23" customHeight="1">
      <x:c r="A13" s="1" t="n">
        <x:v>7</x:v>
      </x:c>
      <x:c r="B13" s="17" t="n">
        <x:f>'Допущения'!C48*'Допущения'!D48</x:f>
        <x:v>0.7245762711864406</x:v>
      </x:c>
      <x:c r="C13" s="9" t="n">
        <x:f>'Допущения'!C31*'Допущения'!$B$8*'Допущения'!D31*$B13*(1+'Допущения'!$B$13)^0</x:f>
        <x:v>1450703.1355932201</x:v>
      </x:c>
      <x:c r="D13" s="9" t="n">
        <x:f>'Допущения'!C32*'Допущения'!$B$8*'Допущения'!D32*$B13*(1+'Допущения'!$B$13)^0</x:f>
        <x:v>69081.10169491525</x:v>
      </x:c>
      <x:c r="E13" s="9" t="n">
        <x:f>'Допущения'!C33*'Допущения'!$B$8*'Допущения'!D33*$B13*(1+'Допущения'!$B$13)^0</x:f>
        <x:v>261126.56440677962</x:v>
      </x:c>
      <x:c r="F13" s="9" t="n">
        <x:f>'Допущения'!C34*'Допущения'!$B$8*'Допущения'!D34*$B13*(1+'Допущения'!$B$13)^0</x:f>
        <x:v>310864.9576271186</x:v>
      </x:c>
      <x:c r="G13" s="9" t="n">
        <x:f>'Допущения'!C35*'Допущения'!$B$8*'Допущения'!D35*$B13*(1+'Допущения'!$B$13)^0</x:f>
        <x:v>518108.2627118644</x:v>
      </x:c>
      <x:c r="H13" s="9" t="n">
        <x:f>'Допущения'!C36*'Допущения'!$B$8*'Допущения'!D36*$B13*(1+'Допущения'!$B$13)^0</x:f>
        <x:v>51810.82627118644</x:v>
      </x:c>
      <x:c r="I13" s="9" t="n">
        <x:f>'Допущения'!C37*'Допущения'!$B$8*'Допущения'!D37*$B13*(1+'Допущения'!$B$13)^0</x:f>
        <x:v>0</x:v>
      </x:c>
      <x:c r="J13" s="7" t="n">
        <x:f>SUM(C13:I13)</x:f>
        <x:v>2661694.8483050843</x:v>
      </x:c>
      <x:c r="K13" s="9" t="n">
        <x:f>J13/(1+'Допущения'!$B$9)</x:f>
        <x:v>2534947.4745762707</x:v>
      </x:c>
      <x:c r="L13" s="9" t="n">
        <x:f>C13/(1+'Допущения'!$B$9)*'Допущения'!E31+'Допущения'!C31*'Допущения'!$B$8*$B13*'Допущения'!F31*(1+'Допущения'!$B$14)^0+D13/(1+'Допущения'!$B$9)*'Допущения'!E32+'Допущения'!C32*'Допущения'!$B$8*$B13*'Допущения'!F32*(1+'Допущения'!$B$14)^0+E13/(1+'Допущения'!$B$9)*'Допущения'!E33+'Допущения'!C33*'Допущения'!$B$8*$B13*'Допущения'!F33*(1+'Допущения'!$B$14)^0+F13/(1+'Допущения'!$B$9)*'Допущения'!E34+'Допущения'!C34*'Допущения'!$B$8*$B13*'Допущения'!F34*(1+'Допущения'!$B$14)^0+G13/(1+'Допущения'!$B$9)*'Допущения'!E35+'Допущения'!C35*'Допущения'!$B$8*$B13*'Допущения'!F35*(1+'Допущения'!$B$14)^0+H13/(1+'Допущения'!$B$9)*'Допущения'!E36+'Допущения'!C36*'Допущения'!$B$8*$B13*'Допущения'!F36*(1+'Допущения'!$B$14)^0+I13/(1+'Допущения'!$B$9)*'Допущения'!E37+'Допущения'!C37*'Допущения'!$B$8*$B13*'Допущения'!F37*(1+'Допущения'!$B$14)^0</x:f>
        <x:v>342181.7237288135</x:v>
      </x:c>
      <x:c r="M13" s="9" t="n">
        <x:f>J13*'Допущения'!$B$11</x:f>
        <x:v>53233.89696610169</x:v>
      </x:c>
      <x:c r="N13" s="9" t="n">
        <x:f>'Инвестиции'!$C$35*(1+'Допущения'!$B$14)^0</x:f>
        <x:v>1263117.0383333333</x:v>
      </x:c>
      <x:c r="O13" s="9" t="n">
        <x:f>K13*'Допущения'!$B$10</x:f>
        <x:v>152096.84847457623</x:v>
      </x:c>
      <x:c r="P13" s="9" t="n">
        <x:f>K13*'Допущения'!$B$12</x:f>
        <x:v>50698.94949152542</x:v>
      </x:c>
      <x:c r="Q13" s="7" t="n">
        <x:f>K13-L13-M13-N13</x:f>
        <x:v>876414.815548022</x:v>
      </x:c>
      <x:c r="R13" s="7" t="n">
        <x:f>Q13-O13-P13</x:f>
        <x:v>673619.0175819204</x:v>
      </x:c>
      <x:c r="S13" s="7" t="n">
        <x:f>S12+R13</x:f>
        <x:v>-13330876.904706217</x:v>
      </x:c>
      <x:c r="T13" s="7" t="n">
        <x:f>IF(S13&gt;=0,A13,999)</x:f>
        <x:v>999</x:v>
      </x:c>
      <x:c r="U13" s="22" t="n">
        <x:f>'Допущения'!C31*'Допущения'!$B$8*B13*'Допущения'!$B$17/'Допущения'!$B$18/'Допущения'!$B$16</x:f>
        <x:v>15.70025038520801</x:v>
      </x:c>
      <x:c r="V13" s="7"/>
      <x:c r="W13" s="7"/>
    </x:row>
    <x:row r="14" ht="23" customHeight="1">
      <x:c r="A14" s="1" t="n">
        <x:v>8</x:v>
      </x:c>
      <x:c r="B14" s="17" t="n">
        <x:f>'Допущения'!C49*'Допущения'!D49</x:f>
        <x:v>0.8135593220338982</x:v>
      </x:c>
      <x:c r="C14" s="9" t="n">
        <x:f>'Допущения'!C31*'Допущения'!$B$8*'Допущения'!D31*$B14*(1+'Допущения'!$B$13)^0</x:f>
        <x:v>1628859.6610169488</x:v>
      </x:c>
      <x:c r="D14" s="9" t="n">
        <x:f>'Допущения'!C32*'Допущения'!$B$8*'Допущения'!D32*$B14*(1+'Допущения'!$B$13)^0</x:f>
        <x:v>77564.74576271186</x:v>
      </x:c>
      <x:c r="E14" s="9" t="n">
        <x:f>'Допущения'!C33*'Допущения'!$B$8*'Допущения'!D33*$B14*(1+'Допущения'!$B$13)^0</x:f>
        <x:v>293194.7389830508</x:v>
      </x:c>
      <x:c r="F14" s="9" t="n">
        <x:f>'Допущения'!C34*'Допущения'!$B$8*'Допущения'!D34*$B14*(1+'Допущения'!$B$13)^0</x:f>
        <x:v>349041.35593220335</x:v>
      </x:c>
      <x:c r="G14" s="9" t="n">
        <x:f>'Допущения'!C35*'Допущения'!$B$8*'Допущения'!D35*$B14*(1+'Допущения'!$B$13)^0</x:f>
        <x:v>581735.5932203389</x:v>
      </x:c>
      <x:c r="H14" s="9" t="n">
        <x:f>'Допущения'!C36*'Допущения'!$B$8*'Допущения'!D36*$B14*(1+'Допущения'!$B$13)^0</x:f>
        <x:v>58173.55932203389</x:v>
      </x:c>
      <x:c r="I14" s="9" t="n">
        <x:f>'Допущения'!C37*'Допущения'!$B$8*'Допущения'!D37*$B14*(1+'Допущения'!$B$13)^0</x:f>
        <x:v>0</x:v>
      </x:c>
      <x:c r="J14" s="7" t="n">
        <x:f>SUM(C14:I14)</x:f>
        <x:v>2988569.654237288</x:v>
      </x:c>
      <x:c r="K14" s="9" t="n">
        <x:f>J14/(1+'Допущения'!$B$9)</x:f>
        <x:v>2846256.8135593217</x:v>
      </x:c>
      <x:c r="L14" s="9" t="n">
        <x:f>C14/(1+'Допущения'!$B$9)*'Допущения'!E31+'Допущения'!C31*'Допущения'!$B$8*$B14*'Допущения'!F31*(1+'Допущения'!$B$14)^0+D14/(1+'Допущения'!$B$9)*'Допущения'!E32+'Допущения'!C32*'Допущения'!$B$8*$B14*'Допущения'!F32*(1+'Допущения'!$B$14)^0+E14/(1+'Допущения'!$B$9)*'Допущения'!E33+'Допущения'!C33*'Допущения'!$B$8*$B14*'Допущения'!F33*(1+'Допущения'!$B$14)^0+F14/(1+'Допущения'!$B$9)*'Допущения'!E34+'Допущения'!C34*'Допущения'!$B$8*$B14*'Допущения'!F34*(1+'Допущения'!$B$14)^0+G14/(1+'Допущения'!$B$9)*'Допущения'!E35+'Допущения'!C35*'Допущения'!$B$8*$B14*'Допущения'!F35*(1+'Допущения'!$B$14)^0+H14/(1+'Допущения'!$B$9)*'Допущения'!E36+'Допущения'!C36*'Допущения'!$B$8*$B14*'Допущения'!F36*(1+'Допущения'!$B$14)^0+I14/(1+'Допущения'!$B$9)*'Допущения'!E37+'Допущения'!C37*'Допущения'!$B$8*$B14*'Допущения'!F37*(1+'Допущения'!$B$14)^0</x:f>
        <x:v>384204.040677966</x:v>
      </x:c>
      <x:c r="M14" s="9" t="n">
        <x:f>J14*'Допущения'!$B$11</x:f>
        <x:v>59771.39308474576</x:v>
      </x:c>
      <x:c r="N14" s="9" t="n">
        <x:f>'Инвестиции'!$C$35*(1+'Допущения'!$B$14)^0</x:f>
        <x:v>1263117.0383333333</x:v>
      </x:c>
      <x:c r="O14" s="9" t="n">
        <x:f>K14*'Допущения'!$B$10</x:f>
        <x:v>170775.4088135593</x:v>
      </x:c>
      <x:c r="P14" s="9" t="n">
        <x:f>K14*'Допущения'!$B$12</x:f>
        <x:v>56925.136271186435</x:v>
      </x:c>
      <x:c r="Q14" s="7" t="n">
        <x:f>K14-L14-M14-N14</x:f>
        <x:v>1139164.3414632764</x:v>
      </x:c>
      <x:c r="R14" s="7" t="n">
        <x:f>Q14-O14-P14</x:f>
        <x:v>911463.7963785307</x:v>
      </x:c>
      <x:c r="S14" s="7" t="n">
        <x:f>S13+R14</x:f>
        <x:v>-12419413.108327687</x:v>
      </x:c>
      <x:c r="T14" s="7" t="n">
        <x:f>IF(S14&gt;=0,A14,999)</x:f>
        <x:v>999</x:v>
      </x:c>
      <x:c r="U14" s="22" t="n">
        <x:f>'Допущения'!C31*'Допущения'!$B$8*B14*'Допущения'!$B$17/'Допущения'!$B$18/'Допущения'!$B$16</x:f>
        <x:v>17.62835130970724</x:v>
      </x:c>
      <x:c r="V14" s="7"/>
      <x:c r="W14" s="7"/>
    </x:row>
    <x:row r="15" ht="23" customHeight="1">
      <x:c r="A15" s="1" t="n">
        <x:v>9</x:v>
      </x:c>
      <x:c r="B15" s="17" t="n">
        <x:f>'Допущения'!C50*'Допущения'!D50</x:f>
        <x:v>1.0677966101694916</x:v>
      </x:c>
      <x:c r="C15" s="9" t="n">
        <x:f>'Допущения'!C31*'Допущения'!$B$8*'Допущения'!D31*$B15*(1+'Допущения'!$B$13)^0</x:f>
        <x:v>2137878.3050847454</x:v>
      </x:c>
      <x:c r="D15" s="9" t="n">
        <x:f>'Допущения'!C32*'Допущения'!$B$8*'Допущения'!D32*$B15*(1+'Допущения'!$B$13)^0</x:f>
        <x:v>101803.72881355933</x:v>
      </x:c>
      <x:c r="E15" s="9" t="n">
        <x:f>'Допущения'!C33*'Допущения'!$B$8*'Допущения'!D33*$B15*(1+'Допущения'!$B$13)^0</x:f>
        <x:v>384818.0949152542</x:v>
      </x:c>
      <x:c r="F15" s="9" t="n">
        <x:f>'Допущения'!C34*'Допущения'!$B$8*'Допущения'!D34*$B15*(1+'Допущения'!$B$13)^0</x:f>
        <x:v>458116.77966101695</x:v>
      </x:c>
      <x:c r="G15" s="9" t="n">
        <x:f>'Допущения'!C35*'Допущения'!$B$8*'Допущения'!D35*$B15*(1+'Допущения'!$B$13)^0</x:f>
        <x:v>763527.966101695</x:v>
      </x:c>
      <x:c r="H15" s="9" t="n">
        <x:f>'Допущения'!C36*'Допущения'!$B$8*'Допущения'!D36*$B15*(1+'Допущения'!$B$13)^0</x:f>
        <x:v>76352.79661016949</x:v>
      </x:c>
      <x:c r="I15" s="9" t="n">
        <x:f>'Допущения'!C37*'Допущения'!$B$8*'Допущения'!D37*$B15*(1+'Допущения'!$B$13)^0</x:f>
        <x:v>0</x:v>
      </x:c>
      <x:c r="J15" s="7" t="n">
        <x:f>SUM(C15:I15)</x:f>
        <x:v>3922497.67118644</x:v>
      </x:c>
      <x:c r="K15" s="9" t="n">
        <x:f>J15/(1+'Допущения'!$B$9)</x:f>
        <x:v>3735712.0677966094</x:v>
      </x:c>
      <x:c r="L15" s="9" t="n">
        <x:f>C15/(1+'Допущения'!$B$9)*'Допущения'!E31+'Допущения'!C31*'Допущения'!$B$8*$B15*'Допущения'!F31*(1+'Допущения'!$B$14)^0+D15/(1+'Допущения'!$B$9)*'Допущения'!E32+'Допущения'!C32*'Допущения'!$B$8*$B15*'Допущения'!F32*(1+'Допущения'!$B$14)^0+E15/(1+'Допущения'!$B$9)*'Допущения'!E33+'Допущения'!C33*'Допущения'!$B$8*$B15*'Допущения'!F33*(1+'Допущения'!$B$14)^0+F15/(1+'Допущения'!$B$9)*'Допущения'!E34+'Допущения'!C34*'Допущения'!$B$8*$B15*'Допущения'!F34*(1+'Допущения'!$B$14)^0+G15/(1+'Допущения'!$B$9)*'Допущения'!E35+'Допущения'!C35*'Допущения'!$B$8*$B15*'Допущения'!F35*(1+'Допущения'!$B$14)^0+H15/(1+'Допущения'!$B$9)*'Допущения'!E36+'Допущения'!C36*'Допущения'!$B$8*$B15*'Допущения'!F36*(1+'Допущения'!$B$14)^0+I15/(1+'Допущения'!$B$9)*'Допущения'!E37+'Допущения'!C37*'Допущения'!$B$8*$B15*'Допущения'!F37*(1+'Допущения'!$B$14)^0</x:f>
        <x:v>504267.80338983046</x:v>
      </x:c>
      <x:c r="M15" s="9" t="n">
        <x:f>J15*'Допущения'!$B$11</x:f>
        <x:v>78449.9534237288</x:v>
      </x:c>
      <x:c r="N15" s="9" t="n">
        <x:f>'Инвестиции'!$C$35*(1+'Допущения'!$B$14)^0</x:f>
        <x:v>1263117.0383333333</x:v>
      </x:c>
      <x:c r="O15" s="9" t="n">
        <x:f>K15*'Допущения'!$B$10</x:f>
        <x:v>224142.72406779655</x:v>
      </x:c>
      <x:c r="P15" s="9" t="n">
        <x:f>K15*'Допущения'!$B$12</x:f>
        <x:v>74714.24135593219</x:v>
      </x:c>
      <x:c r="Q15" s="7" t="n">
        <x:f>K15-L15-M15-N15</x:f>
        <x:v>1889877.2726497168</x:v>
      </x:c>
      <x:c r="R15" s="7" t="n">
        <x:f>Q15-O15-P15</x:f>
        <x:v>1591020.3072259882</x:v>
      </x:c>
      <x:c r="S15" s="7" t="n">
        <x:f>S14+R15</x:f>
        <x:v>-10828392.8011017</x:v>
      </x:c>
      <x:c r="T15" s="7" t="n">
        <x:f>IF(S15&gt;=0,A15,999)</x:f>
        <x:v>999</x:v>
      </x:c>
      <x:c r="U15" s="22" t="n">
        <x:f>'Допущения'!C31*'Допущения'!$B$8*B15*'Допущения'!$B$17/'Допущения'!$B$18/'Допущения'!$B$16</x:f>
        <x:v>23.137211093990754</x:v>
      </x:c>
      <x:c r="V15" s="7"/>
      <x:c r="W15" s="7"/>
    </x:row>
    <x:row r="16" ht="23" customHeight="1">
      <x:c r="A16" s="1" t="n">
        <x:v>10</x:v>
      </x:c>
      <x:c r="B16" s="17" t="n">
        <x:f>'Допущения'!C51*'Допущения'!D51</x:f>
        <x:v>1.1694915254237286</x:v>
      </x:c>
      <x:c r="C16" s="9" t="n">
        <x:f>'Допущения'!C31*'Допущения'!$B$8*'Допущения'!D31*$B16*(1+'Допущения'!$B$13)^0</x:f>
        <x:v>2341485.7627118635</x:v>
      </x:c>
      <x:c r="D16" s="9" t="n">
        <x:f>'Допущения'!C32*'Допущения'!$B$8*'Допущения'!D32*$B16*(1+'Допущения'!$B$13)^0</x:f>
        <x:v>111499.32203389828</x:v>
      </x:c>
      <x:c r="E16" s="9" t="n">
        <x:f>'Допущения'!C33*'Допущения'!$B$8*'Допущения'!D33*$B16*(1+'Допущения'!$B$13)^0</x:f>
        <x:v>421467.43728813546</x:v>
      </x:c>
      <x:c r="F16" s="9" t="n">
        <x:f>'Допущения'!C34*'Допущения'!$B$8*'Допущения'!D34*$B16*(1+'Допущения'!$B$13)^0</x:f>
        <x:v>501746.9491525423</x:v>
      </x:c>
      <x:c r="G16" s="9" t="n">
        <x:f>'Допущения'!C35*'Допущения'!$B$8*'Допущения'!D35*$B16*(1+'Допущения'!$B$13)^0</x:f>
        <x:v>836244.9152542371</x:v>
      </x:c>
      <x:c r="H16" s="9" t="n">
        <x:f>'Допущения'!C36*'Допущения'!$B$8*'Допущения'!D36*$B16*(1+'Допущения'!$B$13)^0</x:f>
        <x:v>83624.49152542371</x:v>
      </x:c>
      <x:c r="I16" s="9" t="n">
        <x:f>'Допущения'!C37*'Допущения'!$B$8*'Допущения'!D37*$B16*(1+'Допущения'!$B$13)^0</x:f>
        <x:v>0</x:v>
      </x:c>
      <x:c r="J16" s="7" t="n">
        <x:f>SUM(C16:I16)</x:f>
        <x:v>4296068.8779661</x:v>
      </x:c>
      <x:c r="K16" s="9" t="n">
        <x:f>J16/(1+'Допущения'!$B$9)</x:f>
        <x:v>4091494.169491524</x:v>
      </x:c>
      <x:c r="L16" s="9" t="n">
        <x:f>C16/(1+'Допущения'!$B$9)*'Допущения'!E31+'Допущения'!C31*'Допущения'!$B$8*$B16*'Допущения'!F31*(1+'Допущения'!$B$14)^0+D16/(1+'Допущения'!$B$9)*'Допущения'!E32+'Допущения'!C32*'Допущения'!$B$8*$B16*'Допущения'!F32*(1+'Допущения'!$B$14)^0+E16/(1+'Допущения'!$B$9)*'Допущения'!E33+'Допущения'!C33*'Допущения'!$B$8*$B16*'Допущения'!F33*(1+'Допущения'!$B$14)^0+F16/(1+'Допущения'!$B$9)*'Допущения'!E34+'Допущения'!C34*'Допущения'!$B$8*$B16*'Допущения'!F34*(1+'Допущения'!$B$14)^0+G16/(1+'Допущения'!$B$9)*'Допущения'!E35+'Допущения'!C35*'Допущения'!$B$8*$B16*'Допущения'!F35*(1+'Допущения'!$B$14)^0+H16/(1+'Допущения'!$B$9)*'Допущения'!E36+'Допущения'!C36*'Допущения'!$B$8*$B16*'Допущения'!F36*(1+'Допущения'!$B$14)^0+I16/(1+'Допущения'!$B$9)*'Допущения'!E37+'Допущения'!C37*'Допущения'!$B$8*$B16*'Допущения'!F37*(1+'Допущения'!$B$14)^0</x:f>
        <x:v>552293.3084745762</x:v>
      </x:c>
      <x:c r="M16" s="9" t="n">
        <x:f>J16*'Допущения'!$B$11</x:f>
        <x:v>85921.377559322</x:v>
      </x:c>
      <x:c r="N16" s="9" t="n">
        <x:f>'Инвестиции'!$C$35*(1+'Допущения'!$B$14)^0</x:f>
        <x:v>1263117.0383333333</x:v>
      </x:c>
      <x:c r="O16" s="9" t="n">
        <x:f>K16*'Допущения'!$B$10</x:f>
        <x:v>245489.65016949142</x:v>
      </x:c>
      <x:c r="P16" s="9" t="n">
        <x:f>K16*'Допущения'!$B$12</x:f>
        <x:v>81829.88338983047</x:v>
      </x:c>
      <x:c r="Q16" s="7" t="n">
        <x:f>K16-L16-M16-N16</x:f>
        <x:v>2190162.4451242927</x:v>
      </x:c>
      <x:c r="R16" s="7" t="n">
        <x:f>Q16-O16-P16</x:f>
        <x:v>1862842.9115649709</x:v>
      </x:c>
      <x:c r="S16" s="7" t="n">
        <x:f>S15+R16</x:f>
        <x:v>-8965549.88953673</x:v>
      </x:c>
      <x:c r="T16" s="7" t="n">
        <x:f>IF(S16&gt;=0,A16,999)</x:f>
        <x:v>999</x:v>
      </x:c>
      <x:c r="U16" s="22" t="n">
        <x:f>'Допущения'!C31*'Допущения'!$B$8*B16*'Допущения'!$B$17/'Допущения'!$B$18/'Допущения'!$B$16</x:f>
        <x:v>25.340755007704157</x:v>
      </x:c>
      <x:c r="V16" s="7"/>
      <x:c r="W16" s="7"/>
    </x:row>
    <x:row r="17" ht="23" customHeight="1">
      <x:c r="A17" s="1" t="n">
        <x:v>11</x:v>
      </x:c>
      <x:c r="B17" s="17" t="n">
        <x:f>'Допущения'!C52*'Допущения'!D52</x:f>
        <x:v>1.2203389830508473</x:v>
      </x:c>
      <x:c r="C17" s="9" t="n">
        <x:f>'Допущения'!C31*'Допущения'!$B$8*'Допущения'!D31*$B17*(1+'Допущения'!$B$13)^0</x:f>
        <x:v>2443289.4915254232</x:v>
      </x:c>
      <x:c r="D17" s="9" t="n">
        <x:f>'Допущения'!C32*'Допущения'!$B$8*'Допущения'!D32*$B17*(1+'Допущения'!$B$13)^0</x:f>
        <x:v>116347.11864406778</x:v>
      </x:c>
      <x:c r="E17" s="9" t="n">
        <x:f>'Допущения'!C33*'Допущения'!$B$8*'Допущения'!D33*$B17*(1+'Допущения'!$B$13)^0</x:f>
        <x:v>439792.10847457615</x:v>
      </x:c>
      <x:c r="F17" s="9" t="n">
        <x:f>'Допущения'!C34*'Допущения'!$B$8*'Допущения'!D34*$B17*(1+'Допущения'!$B$13)^0</x:f>
        <x:v>523562.03389830503</x:v>
      </x:c>
      <x:c r="G17" s="9" t="n">
        <x:f>'Допущения'!C35*'Допущения'!$B$8*'Допущения'!D35*$B17*(1+'Допущения'!$B$13)^0</x:f>
        <x:v>872603.3898305084</x:v>
      </x:c>
      <x:c r="H17" s="9" t="n">
        <x:f>'Допущения'!C36*'Допущения'!$B$8*'Допущения'!D36*$B17*(1+'Допущения'!$B$13)^0</x:f>
        <x:v>87260.33898305084</x:v>
      </x:c>
      <x:c r="I17" s="9" t="n">
        <x:f>'Допущения'!C37*'Допущения'!$B$8*'Допущения'!D37*$B17*(1+'Допущения'!$B$13)^0</x:f>
        <x:v>0</x:v>
      </x:c>
      <x:c r="J17" s="7" t="n">
        <x:f>SUM(C17:I17)</x:f>
        <x:v>4482854.481355931</x:v>
      </x:c>
      <x:c r="K17" s="9" t="n">
        <x:f>J17/(1+'Допущения'!$B$9)</x:f>
        <x:v>4269385.220338982</x:v>
      </x:c>
      <x:c r="L17" s="9" t="n">
        <x:f>C17/(1+'Допущения'!$B$9)*'Допущения'!E31+'Допущения'!C31*'Допущения'!$B$8*$B17*'Допущения'!F31*(1+'Допущения'!$B$14)^0+D17/(1+'Допущения'!$B$9)*'Допущения'!E32+'Допущения'!C32*'Допущения'!$B$8*$B17*'Допущения'!F32*(1+'Допущения'!$B$14)^0+E17/(1+'Допущения'!$B$9)*'Допущения'!E33+'Допущения'!C33*'Допущения'!$B$8*$B17*'Допущения'!F33*(1+'Допущения'!$B$14)^0+F17/(1+'Допущения'!$B$9)*'Допущения'!E34+'Допущения'!C34*'Допущения'!$B$8*$B17*'Допущения'!F34*(1+'Допущения'!$B$14)^0+G17/(1+'Допущения'!$B$9)*'Допущения'!E35+'Допущения'!C35*'Допущения'!$B$8*$B17*'Допущения'!F35*(1+'Допущения'!$B$14)^0+H17/(1+'Допущения'!$B$9)*'Допущения'!E36+'Допущения'!C36*'Допущения'!$B$8*$B17*'Допущения'!F36*(1+'Допущения'!$B$14)^0+I17/(1+'Допущения'!$B$9)*'Допущения'!E37+'Допущения'!C37*'Допущения'!$B$8*$B17*'Допущения'!F37*(1+'Допущения'!$B$14)^0</x:f>
        <x:v>576306.061016949</x:v>
      </x:c>
      <x:c r="M17" s="9" t="n">
        <x:f>J17*'Допущения'!$B$11</x:f>
        <x:v>89657.08962711862</x:v>
      </x:c>
      <x:c r="N17" s="9" t="n">
        <x:f>'Инвестиции'!$C$35*(1+'Допущения'!$B$14)^0</x:f>
        <x:v>1263117.0383333333</x:v>
      </x:c>
      <x:c r="O17" s="9" t="n">
        <x:f>K17*'Допущения'!$B$10</x:f>
        <x:v>256163.11322033888</x:v>
      </x:c>
      <x:c r="P17" s="9" t="n">
        <x:f>K17*'Допущения'!$B$12</x:f>
        <x:v>85387.70440677964</x:v>
      </x:c>
      <x:c r="Q17" s="7" t="n">
        <x:f>K17-L17-M17-N17</x:f>
        <x:v>2340305.031361581</x:v>
      </x:c>
      <x:c r="R17" s="7" t="n">
        <x:f>Q17-O17-P17</x:f>
        <x:v>1998754.2137344622</x:v>
      </x:c>
      <x:c r="S17" s="7" t="n">
        <x:f>S16+R17</x:f>
        <x:v>-6966795.675802267</x:v>
      </x:c>
      <x:c r="T17" s="7" t="n">
        <x:f>IF(S17&gt;=0,A17,999)</x:f>
        <x:v>999</x:v>
      </x:c>
      <x:c r="U17" s="22" t="n">
        <x:f>'Допущения'!C31*'Допущения'!$B$8*B17*'Допущения'!$B$17/'Допущения'!$B$18/'Допущения'!$B$16</x:f>
        <x:v>26.442526964560855</x:v>
      </x:c>
      <x:c r="V17" s="7"/>
      <x:c r="W17" s="7"/>
    </x:row>
    <x:row r="18" ht="23" customHeight="1">
      <x:c r="A18" s="1" t="n">
        <x:v>12</x:v>
      </x:c>
      <x:c r="B18" s="17" t="n">
        <x:f>'Допущения'!C53*'Допущения'!D53</x:f>
        <x:v>1.271186440677966</x:v>
      </x:c>
      <x:c r="C18" s="9" t="n">
        <x:f>'Допущения'!C31*'Допущения'!$B$8*'Допущения'!D31*$B18*(1+'Допущения'!$B$13)^0</x:f>
        <x:v>2545093.2203389825</x:v>
      </x:c>
      <x:c r="D18" s="9" t="n">
        <x:f>'Допущения'!C32*'Допущения'!$B$8*'Допущения'!D32*$B18*(1+'Допущения'!$B$13)^0</x:f>
        <x:v>121194.91525423728</x:v>
      </x:c>
      <x:c r="E18" s="9" t="n">
        <x:f>'Допущения'!C33*'Допущения'!$B$8*'Допущения'!D33*$B18*(1+'Допущения'!$B$13)^0</x:f>
        <x:v>458116.7796610169</x:v>
      </x:c>
      <x:c r="F18" s="9" t="n">
        <x:f>'Допущения'!C34*'Допущения'!$B$8*'Допущения'!D34*$B18*(1+'Допущения'!$B$13)^0</x:f>
        <x:v>545377.1186440678</x:v>
      </x:c>
      <x:c r="G18" s="9" t="n">
        <x:f>'Допущения'!C35*'Допущения'!$B$8*'Допущения'!D35*$B18*(1+'Допущения'!$B$13)^0</x:f>
        <x:v>908961.8644067796</x:v>
      </x:c>
      <x:c r="H18" s="9" t="n">
        <x:f>'Допущения'!C36*'Допущения'!$B$8*'Допущения'!D36*$B18*(1+'Допущения'!$B$13)^0</x:f>
        <x:v>90896.18644067796</x:v>
      </x:c>
      <x:c r="I18" s="9" t="n">
        <x:f>'Допущения'!C37*'Допущения'!$B$8*'Допущения'!D37*$B18*(1+'Допущения'!$B$13)^0</x:f>
        <x:v>0</x:v>
      </x:c>
      <x:c r="J18" s="7" t="n">
        <x:f>SUM(C18:I18)</x:f>
        <x:v>4669640.084745762</x:v>
      </x:c>
      <x:c r="K18" s="9" t="n">
        <x:f>J18/(1+'Допущения'!$B$9)</x:f>
        <x:v>4447276.271186439</x:v>
      </x:c>
      <x:c r="L18" s="9" t="n">
        <x:f>C18/(1+'Допущения'!$B$9)*'Допущения'!E31+'Допущения'!C31*'Допущения'!$B$8*$B18*'Допущения'!F31*(1+'Допущения'!$B$14)^0+D18/(1+'Допущения'!$B$9)*'Допущения'!E32+'Допущения'!C32*'Допущения'!$B$8*$B18*'Допущения'!F32*(1+'Допущения'!$B$14)^0+E18/(1+'Допущения'!$B$9)*'Допущения'!E33+'Допущения'!C33*'Допущения'!$B$8*$B18*'Допущения'!F33*(1+'Допущения'!$B$14)^0+F18/(1+'Допущения'!$B$9)*'Допущения'!E34+'Допущения'!C34*'Допущения'!$B$8*$B18*'Допущения'!F34*(1+'Допущения'!$B$14)^0+G18/(1+'Допущения'!$B$9)*'Допущения'!E35+'Допущения'!C35*'Допущения'!$B$8*$B18*'Допущения'!F35*(1+'Допущения'!$B$14)^0+H18/(1+'Допущения'!$B$9)*'Допущения'!E36+'Допущения'!C36*'Допущения'!$B$8*$B18*'Допущения'!F36*(1+'Допущения'!$B$14)^0+I18/(1+'Допущения'!$B$9)*'Допущения'!E37+'Допущения'!C37*'Допущения'!$B$8*$B18*'Допущения'!F37*(1+'Допущения'!$B$14)^0</x:f>
        <x:v>600318.813559322</x:v>
      </x:c>
      <x:c r="M18" s="9" t="n">
        <x:f>J18*'Допущения'!$B$11</x:f>
        <x:v>93392.80169491524</x:v>
      </x:c>
      <x:c r="N18" s="9" t="n">
        <x:f>'Инвестиции'!$C$35*(1+'Допущения'!$B$14)^0</x:f>
        <x:v>1263117.0383333333</x:v>
      </x:c>
      <x:c r="O18" s="9" t="n">
        <x:f>K18*'Допущения'!$B$10</x:f>
        <x:v>266836.57627118635</x:v>
      </x:c>
      <x:c r="P18" s="9" t="n">
        <x:f>K18*'Допущения'!$B$12</x:f>
        <x:v>88945.52542372879</x:v>
      </x:c>
      <x:c r="Q18" s="7" t="n">
        <x:f>K18-L18-M18-N18</x:f>
        <x:v>2490447.617598869</x:v>
      </x:c>
      <x:c r="R18" s="7" t="n">
        <x:f>Q18-O18-P18</x:f>
        <x:v>2134665.5159039535</x:v>
      </x:c>
      <x:c r="S18" s="7" t="n">
        <x:f>S17+R18</x:f>
        <x:v>-4832130.159898314</x:v>
      </x:c>
      <x:c r="T18" s="7" t="n">
        <x:f>IF(S18&gt;=0,A18,999)</x:f>
        <x:v>999</x:v>
      </x:c>
      <x:c r="U18" s="22" t="n">
        <x:f>'Допущения'!C31*'Допущения'!$B$8*B18*'Допущения'!$B$17/'Допущения'!$B$18/'Допущения'!$B$16</x:f>
        <x:v>27.544298921417564</x:v>
      </x:c>
      <x:c r="V18" s="7"/>
      <x:c r="W18" s="7"/>
    </x:row>
    <x:row r="19" ht="23" customHeight="1">
      <x:c r="A19" s="1" t="n">
        <x:v>13</x:v>
      </x:c>
      <x:c r="B19" s="17" t="n">
        <x:f>'Допущения'!C42*'Допущения'!D53</x:f>
        <x:v>1.1186440677966103</x:v>
      </x:c>
      <x:c r="C19" s="9" t="n">
        <x:f>'Допущения'!C31*'Допущения'!$B$8*'Допущения'!D31*$B19*(1+'Допущения'!$B$13)^1</x:f>
        <x:v>2306872.4949152544</x:v>
      </x:c>
      <x:c r="D19" s="9" t="n">
        <x:f>'Допущения'!C32*'Допущения'!$B$8*'Допущения'!D32*$B19*(1+'Допущения'!$B$13)^1</x:f>
        <x:v>109851.0711864407</x:v>
      </x:c>
      <x:c r="E19" s="9" t="n">
        <x:f>'Допущения'!C33*'Допущения'!$B$8*'Допущения'!D33*$B19*(1+'Допущения'!$B$13)^1</x:f>
        <x:v>415237.04908474575</x:v>
      </x:c>
      <x:c r="F19" s="9" t="n">
        <x:f>'Допущения'!C34*'Допущения'!$B$8*'Допущения'!D34*$B19*(1+'Допущения'!$B$13)^1</x:f>
        <x:v>494329.8203389831</x:v>
      </x:c>
      <x:c r="G19" s="9" t="n">
        <x:f>'Допущения'!C35*'Допущения'!$B$8*'Допущения'!D35*$B19*(1+'Допущения'!$B$13)^1</x:f>
        <x:v>823883.0338983053</x:v>
      </x:c>
      <x:c r="H19" s="9" t="n">
        <x:f>'Допущения'!C36*'Допущения'!$B$8*'Допущения'!D36*$B19*(1+'Допущения'!$B$13)^1</x:f>
        <x:v>82388.30338983051</x:v>
      </x:c>
      <x:c r="I19" s="9" t="n">
        <x:f>'Допущения'!C37*'Допущения'!$B$8*'Допущения'!D37*$B19*(1+'Допущения'!$B$13)^1</x:f>
        <x:v>0</x:v>
      </x:c>
      <x:c r="J19" s="7" t="n">
        <x:f>SUM(C19:I19)</x:f>
        <x:v>4232561.7728135595</x:v>
      </x:c>
      <x:c r="K19" s="9" t="n">
        <x:f>J19/(1+'Допущения'!$B$9)</x:f>
        <x:v>4031011.21220339</x:v>
      </x:c>
      <x:c r="L19" s="9" t="n">
        <x:f>C19/(1+'Допущения'!$B$9)*'Допущения'!E31+'Допущения'!C31*'Допущения'!$B$8*$B19*'Допущения'!F31*(1+'Допущения'!$B$14)^1+D19/(1+'Допущения'!$B$9)*'Допущения'!E32+'Допущения'!C32*'Допущения'!$B$8*$B19*'Допущения'!F32*(1+'Допущения'!$B$14)^1+E19/(1+'Допущения'!$B$9)*'Допущения'!E33+'Допущения'!C33*'Допущения'!$B$8*$B19*'Допущения'!F33*(1+'Допущения'!$B$14)^1+F19/(1+'Допущения'!$B$9)*'Допущения'!E34+'Допущения'!C34*'Допущения'!$B$8*$B19*'Допущения'!F34*(1+'Допущения'!$B$14)^1+G19/(1+'Допущения'!$B$9)*'Допущения'!E35+'Допущения'!C35*'Допущения'!$B$8*$B19*'Допущения'!F35*(1+'Допущения'!$B$14)^1+H19/(1+'Допущения'!$B$9)*'Допущения'!E36+'Допущения'!C36*'Допущения'!$B$8*$B19*'Допущения'!F36*(1+'Допущения'!$B$14)^1+I19/(1+'Допущения'!$B$9)*'Допущения'!E37+'Допущения'!C37*'Допущения'!$B$8*$B19*'Допущения'!F37*(1+'Допущения'!$B$14)^1</x:f>
        <x:v>544128.9726101696</x:v>
      </x:c>
      <x:c r="M19" s="9" t="n">
        <x:f>J19*'Допущения'!$B$11</x:f>
        <x:v>84651.2354562712</x:v>
      </x:c>
      <x:c r="N19" s="9" t="n">
        <x:f>'Инвестиции'!$C$35*(1+'Допущения'!$B$14)^1</x:f>
        <x:v>1326272.89025</x:v>
      </x:c>
      <x:c r="O19" s="9" t="n">
        <x:f>K19*'Допущения'!$B$10</x:f>
        <x:v>241860.67273220338</x:v>
      </x:c>
      <x:c r="P19" s="9" t="n">
        <x:f>K19*'Допущения'!$B$12</x:f>
        <x:v>80620.2242440678</x:v>
      </x:c>
      <x:c r="Q19" s="7" t="n">
        <x:f>K19-L19-M19-N19</x:f>
        <x:v>2075958.1138869494</x:v>
      </x:c>
      <x:c r="R19" s="7" t="n">
        <x:f>Q19-O19-P19</x:f>
        <x:v>1753477.216910678</x:v>
      </x:c>
      <x:c r="S19" s="7" t="n">
        <x:f>S18+R19</x:f>
        <x:v>-3078652.9429876357</x:v>
      </x:c>
      <x:c r="T19" s="7" t="n">
        <x:f>IF(S19&gt;=0,A19,999)</x:f>
        <x:v>999</x:v>
      </x:c>
      <x:c r="U19" s="22" t="n">
        <x:f>'Допущения'!C31*'Допущения'!$B$8*B19*'Допущения'!$B$17/'Допущения'!$B$18/'Допущения'!$B$16</x:f>
        <x:v>24.23898305084746</x:v>
      </x:c>
      <x:c r="V19" s="7"/>
      <x:c r="W19" s="7"/>
    </x:row>
    <x:row r="20" ht="23" customHeight="1">
      <x:c r="A20" s="1" t="n">
        <x:v>14</x:v>
      </x:c>
      <x:c r="B20" s="17" t="n">
        <x:f>'Допущения'!C43*'Допущения'!D53</x:f>
        <x:v>1.0677966101694916</x:v>
      </x:c>
      <x:c r="C20" s="9" t="n">
        <x:f>'Допущения'!C31*'Допущения'!$B$8*'Допущения'!D31*$B20*(1+'Допущения'!$B$13)^1</x:f>
        <x:v>2202014.654237288</x:v>
      </x:c>
      <x:c r="D20" s="9" t="n">
        <x:f>'Допущения'!C32*'Допущения'!$B$8*'Допущения'!D32*$B20*(1+'Допущения'!$B$13)^1</x:f>
        <x:v>104857.8406779661</x:v>
      </x:c>
      <x:c r="E20" s="9" t="n">
        <x:f>'Допущения'!C33*'Допущения'!$B$8*'Допущения'!D33*$B20*(1+'Допущения'!$B$13)^1</x:f>
        <x:v>396362.63776271185</x:v>
      </x:c>
      <x:c r="F20" s="9" t="n">
        <x:f>'Допущения'!C34*'Допущения'!$B$8*'Допущения'!D34*$B20*(1+'Допущения'!$B$13)^1</x:f>
        <x:v>471860.2830508475</x:v>
      </x:c>
      <x:c r="G20" s="9" t="n">
        <x:f>'Допущения'!C35*'Допущения'!$B$8*'Допущения'!D35*$B20*(1+'Допущения'!$B$13)^1</x:f>
        <x:v>786433.8050847459</x:v>
      </x:c>
      <x:c r="H20" s="9" t="n">
        <x:f>'Допущения'!C36*'Допущения'!$B$8*'Допущения'!D36*$B20*(1+'Допущения'!$B$13)^1</x:f>
        <x:v>78643.38050847458</x:v>
      </x:c>
      <x:c r="I20" s="9" t="n">
        <x:f>'Допущения'!C37*'Допущения'!$B$8*'Допущения'!D37*$B20*(1+'Допущения'!$B$13)^1</x:f>
        <x:v>0</x:v>
      </x:c>
      <x:c r="J20" s="7" t="n">
        <x:f>SUM(C20:I20)</x:f>
        <x:v>4040172.6013220334</x:v>
      </x:c>
      <x:c r="K20" s="9" t="n">
        <x:f>J20/(1+'Допущения'!$B$9)</x:f>
        <x:v>3847783.429830508</x:v>
      </x:c>
      <x:c r="L20" s="9" t="n">
        <x:f>C20/(1+'Допущения'!$B$9)*'Допущения'!E31+'Допущения'!C31*'Допущения'!$B$8*$B20*'Допущения'!F31*(1+'Допущения'!$B$14)^1+D20/(1+'Допущения'!$B$9)*'Допущения'!E32+'Допущения'!C32*'Допущения'!$B$8*$B20*'Допущения'!F32*(1+'Допущения'!$B$14)^1+E20/(1+'Допущения'!$B$9)*'Допущения'!E33+'Допущения'!C33*'Допущения'!$B$8*$B20*'Допущения'!F33*(1+'Допущения'!$B$14)^1+F20/(1+'Допущения'!$B$9)*'Допущения'!E34+'Допущения'!C34*'Допущения'!$B$8*$B20*'Допущения'!F34*(1+'Допущения'!$B$14)^1+G20/(1+'Допущения'!$B$9)*'Допущения'!E35+'Допущения'!C35*'Допущения'!$B$8*$B20*'Допущения'!F35*(1+'Допущения'!$B$14)^1+H20/(1+'Допущения'!$B$9)*'Допущения'!E36+'Допущения'!C36*'Допущения'!$B$8*$B20*'Допущения'!F36*(1+'Допущения'!$B$14)^1+I20/(1+'Допущения'!$B$9)*'Допущения'!E37+'Допущения'!C37*'Допущения'!$B$8*$B20*'Допущения'!F37*(1+'Допущения'!$B$14)^1</x:f>
        <x:v>519395.83749152545</x:v>
      </x:c>
      <x:c r="M20" s="9" t="n">
        <x:f>J20*'Допущения'!$B$11</x:f>
        <x:v>80803.45202644067</x:v>
      </x:c>
      <x:c r="N20" s="9" t="n">
        <x:f>'Инвестиции'!$C$35*(1+'Допущения'!$B$14)^1</x:f>
        <x:v>1326272.89025</x:v>
      </x:c>
      <x:c r="O20" s="9" t="n">
        <x:f>K20*'Допущения'!$B$10</x:f>
        <x:v>230867.00578983047</x:v>
      </x:c>
      <x:c r="P20" s="9" t="n">
        <x:f>K20*'Допущения'!$B$12</x:f>
        <x:v>76955.66859661016</x:v>
      </x:c>
      <x:c r="Q20" s="7" t="n">
        <x:f>K20-L20-M20-N20</x:f>
        <x:v>1921311.2500625418</x:v>
      </x:c>
      <x:c r="R20" s="7" t="n">
        <x:f>Q20-O20-P20</x:f>
        <x:v>1613488.575676101</x:v>
      </x:c>
      <x:c r="S20" s="7" t="n">
        <x:f>S19+R20</x:f>
        <x:v>-1465164.3673115347</x:v>
      </x:c>
      <x:c r="T20" s="7" t="n">
        <x:f>IF(S20&gt;=0,A20,999)</x:f>
        <x:v>999</x:v>
      </x:c>
      <x:c r="U20" s="22" t="n">
        <x:f>'Допущения'!C31*'Допущения'!$B$8*B20*'Допущения'!$B$17/'Допущения'!$B$18/'Допущения'!$B$16</x:f>
        <x:v>23.137211093990754</x:v>
      </x:c>
      <x:c r="V20" s="7"/>
      <x:c r="W20" s="7"/>
    </x:row>
    <x:row r="21" ht="23" customHeight="1">
      <x:c r="A21" s="1" t="n">
        <x:v>15</x:v>
      </x:c>
      <x:c r="B21" s="17" t="n">
        <x:f>'Допущения'!C44*'Допущения'!D53</x:f>
        <x:v>1.0169491525423728</x:v>
      </x:c>
      <x:c r="C21" s="9" t="n">
        <x:f>'Допущения'!C31*'Допущения'!$B$8*'Допущения'!D31*$B21*(1+'Допущения'!$B$13)^1</x:f>
        <x:v>2097156.8135593217</x:v>
      </x:c>
      <x:c r="D21" s="9" t="n">
        <x:f>'Допущения'!C32*'Допущения'!$B$8*'Допущения'!D32*$B21*(1+'Допущения'!$B$13)^1</x:f>
        <x:v>99864.61016949151</x:v>
      </x:c>
      <x:c r="E21" s="9" t="n">
        <x:f>'Допущения'!C33*'Допущения'!$B$8*'Допущения'!D33*$B21*(1+'Допущения'!$B$13)^1</x:f>
        <x:v>377488.2264406779</x:v>
      </x:c>
      <x:c r="F21" s="9" t="n">
        <x:f>'Допущения'!C34*'Допущения'!$B$8*'Допущения'!D34*$B21*(1+'Допущения'!$B$13)^1</x:f>
        <x:v>449390.74576271186</x:v>
      </x:c>
      <x:c r="G21" s="9" t="n">
        <x:f>'Допущения'!C35*'Допущения'!$B$8*'Допущения'!D35*$B21*(1+'Допущения'!$B$13)^1</x:f>
        <x:v>748984.5762711865</x:v>
      </x:c>
      <x:c r="H21" s="9" t="n">
        <x:f>'Допущения'!C36*'Допущения'!$B$8*'Допущения'!D36*$B21*(1+'Допущения'!$B$13)^1</x:f>
        <x:v>74898.45762711864</x:v>
      </x:c>
      <x:c r="I21" s="9" t="n">
        <x:f>'Допущения'!C37*'Допущения'!$B$8*'Допущения'!D37*$B21*(1+'Допущения'!$B$13)^1</x:f>
        <x:v>0</x:v>
      </x:c>
      <x:c r="J21" s="7" t="n">
        <x:f>SUM(C21:I21)</x:f>
        <x:v>3847783.4298305083</x:v>
      </x:c>
      <x:c r="K21" s="9" t="n">
        <x:f>J21/(1+'Допущения'!$B$9)</x:f>
        <x:v>3664555.6474576266</x:v>
      </x:c>
      <x:c r="L21" s="9" t="n">
        <x:f>C21/(1+'Допущения'!$B$9)*'Допущения'!E31+'Допущения'!C31*'Допущения'!$B$8*$B21*'Допущения'!F31*(1+'Допущения'!$B$14)^1+D21/(1+'Допущения'!$B$9)*'Допущения'!E32+'Допущения'!C32*'Допущения'!$B$8*$B21*'Допущения'!F32*(1+'Допущения'!$B$14)^1+E21/(1+'Допущения'!$B$9)*'Допущения'!E33+'Допущения'!C33*'Допущения'!$B$8*$B21*'Допущения'!F33*(1+'Допущения'!$B$14)^1+F21/(1+'Допущения'!$B$9)*'Допущения'!E34+'Допущения'!C34*'Допущения'!$B$8*$B21*'Допущения'!F34*(1+'Допущения'!$B$14)^1+G21/(1+'Допущения'!$B$9)*'Допущения'!E35+'Допущения'!C35*'Допущения'!$B$8*$B21*'Допущения'!F35*(1+'Допущения'!$B$14)^1+H21/(1+'Допущения'!$B$9)*'Допущения'!E36+'Допущения'!C36*'Допущения'!$B$8*$B21*'Допущения'!F36*(1+'Допущения'!$B$14)^1+I21/(1+'Допущения'!$B$9)*'Допущения'!E37+'Допущения'!C37*'Допущения'!$B$8*$B21*'Допущения'!F37*(1+'Допущения'!$B$14)^1</x:f>
        <x:v>494662.70237288135</x:v>
      </x:c>
      <x:c r="M21" s="9" t="n">
        <x:f>J21*'Допущения'!$B$11</x:f>
        <x:v>76955.66859661016</x:v>
      </x:c>
      <x:c r="N21" s="9" t="n">
        <x:f>'Инвестиции'!$C$35*(1+'Допущения'!$B$14)^1</x:f>
        <x:v>1326272.89025</x:v>
      </x:c>
      <x:c r="O21" s="9" t="n">
        <x:f>K21*'Допущения'!$B$10</x:f>
        <x:v>219873.33884745758</x:v>
      </x:c>
      <x:c r="P21" s="9" t="n">
        <x:f>K21*'Допущения'!$B$12</x:f>
        <x:v>73291.11294915254</x:v>
      </x:c>
      <x:c r="Q21" s="7" t="n">
        <x:f>K21-L21-M21-N21</x:f>
        <x:v>1766664.3862381352</x:v>
      </x:c>
      <x:c r="R21" s="7" t="n">
        <x:f>Q21-O21-P21</x:f>
        <x:v>1473499.934441525</x:v>
      </x:c>
      <x:c r="S21" s="7" t="n">
        <x:f>S20+R21</x:f>
        <x:v>8335.567129990319</x:v>
      </x:c>
      <x:c r="T21" s="7" t="n">
        <x:f>IF(S21&gt;=0,A21,999)</x:f>
        <x:v>15</x:v>
      </x:c>
      <x:c r="U21" s="22" t="n">
        <x:f>'Допущения'!C31*'Допущения'!$B$8*B21*'Допущения'!$B$17/'Допущения'!$B$18/'Допущения'!$B$16</x:f>
        <x:v>22.03543913713405</x:v>
      </x:c>
      <x:c r="V21" s="7"/>
      <x:c r="W21" s="7"/>
    </x:row>
    <x:row r="22" ht="23" customHeight="1">
      <x:c r="A22" s="1" t="n">
        <x:v>16</x:v>
      </x:c>
      <x:c r="B22" s="17" t="n">
        <x:f>'Допущения'!C45*'Допущения'!D53</x:f>
        <x:v>0.9152542372881356</x:v>
      </x:c>
      <x:c r="C22" s="9" t="n">
        <x:f>'Допущения'!C31*'Допущения'!$B$8*'Допущения'!D31*$B22*(1+'Допущения'!$B$13)^1</x:f>
        <x:v>1887441.1322033897</x:v>
      </x:c>
      <x:c r="D22" s="9" t="n">
        <x:f>'Допущения'!C32*'Допущения'!$B$8*'Допущения'!D32*$B22*(1+'Допущения'!$B$13)^1</x:f>
        <x:v>89878.14915254238</x:v>
      </x:c>
      <x:c r="E22" s="9" t="n">
        <x:f>'Допущения'!C33*'Допущения'!$B$8*'Допущения'!D33*$B22*(1+'Допущения'!$B$13)^1</x:f>
        <x:v>339739.40379661013</x:v>
      </x:c>
      <x:c r="F22" s="9" t="n">
        <x:f>'Допущения'!C34*'Допущения'!$B$8*'Допущения'!D34*$B22*(1+'Допущения'!$B$13)^1</x:f>
        <x:v>404451.6711864407</x:v>
      </x:c>
      <x:c r="G22" s="9" t="n">
        <x:f>'Допущения'!C35*'Допущения'!$B$8*'Допущения'!D35*$B22*(1+'Допущения'!$B$13)^1</x:f>
        <x:v>674086.1186440678</x:v>
      </x:c>
      <x:c r="H22" s="9" t="n">
        <x:f>'Допущения'!C36*'Допущения'!$B$8*'Допущения'!D36*$B22*(1+'Допущения'!$B$13)^1</x:f>
        <x:v>67408.61186440678</x:v>
      </x:c>
      <x:c r="I22" s="9" t="n">
        <x:f>'Допущения'!C37*'Допущения'!$B$8*'Допущения'!D37*$B22*(1+'Допущения'!$B$13)^1</x:f>
        <x:v>0</x:v>
      </x:c>
      <x:c r="J22" s="7" t="n">
        <x:f>SUM(C22:I22)</x:f>
        <x:v>3463005.086847457</x:v>
      </x:c>
      <x:c r="K22" s="9" t="n">
        <x:f>J22/(1+'Допущения'!$B$9)</x:f>
        <x:v>3298100.082711864</x:v>
      </x:c>
      <x:c r="L22" s="9" t="n">
        <x:f>C22/(1+'Допущения'!$B$9)*'Допущения'!E31+'Допущения'!C31*'Допущения'!$B$8*$B22*'Допущения'!F31*(1+'Допущения'!$B$14)^1+D22/(1+'Допущения'!$B$9)*'Допущения'!E32+'Допущения'!C32*'Допущения'!$B$8*$B22*'Допущения'!F32*(1+'Допущения'!$B$14)^1+E22/(1+'Допущения'!$B$9)*'Допущения'!E33+'Допущения'!C33*'Допущения'!$B$8*$B22*'Допущения'!F33*(1+'Допущения'!$B$14)^1+F22/(1+'Допущения'!$B$9)*'Допущения'!E34+'Допущения'!C34*'Допущения'!$B$8*$B22*'Допущения'!F34*(1+'Допущения'!$B$14)^1+G22/(1+'Допущения'!$B$9)*'Допущения'!E35+'Допущения'!C35*'Допущения'!$B$8*$B22*'Допущения'!F35*(1+'Допущения'!$B$14)^1+H22/(1+'Допущения'!$B$9)*'Допущения'!E36+'Допущения'!C36*'Допущения'!$B$8*$B22*'Допущения'!F36*(1+'Допущения'!$B$14)^1+I22/(1+'Допущения'!$B$9)*'Допущения'!E37+'Допущения'!C37*'Допущения'!$B$8*$B22*'Допущения'!F37*(1+'Допущения'!$B$14)^1</x:f>
        <x:v>445196.4321355932</x:v>
      </x:c>
      <x:c r="M22" s="9" t="n">
        <x:f>J22*'Допущения'!$B$11</x:f>
        <x:v>69260.10173694915</x:v>
      </x:c>
      <x:c r="N22" s="9" t="n">
        <x:f>'Инвестиции'!$C$35*(1+'Допущения'!$B$14)^1</x:f>
        <x:v>1326272.89025</x:v>
      </x:c>
      <x:c r="O22" s="9" t="n">
        <x:f>K22*'Допущения'!$B$10</x:f>
        <x:v>197886.00496271183</x:v>
      </x:c>
      <x:c r="P22" s="9" t="n">
        <x:f>K22*'Допущения'!$B$12</x:f>
        <x:v>65962.00165423728</x:v>
      </x:c>
      <x:c r="Q22" s="7" t="n">
        <x:f>K22-L22-M22-N22</x:f>
        <x:v>1457370.6585893214</x:v>
      </x:c>
      <x:c r="R22" s="7" t="n">
        <x:f>Q22-O22-P22</x:f>
        <x:v>1193522.6519723723</x:v>
      </x:c>
      <x:c r="S22" s="7" t="n">
        <x:f>S21+R22</x:f>
        <x:v>1201858.2191023626</x:v>
      </x:c>
      <x:c r="T22" s="7" t="n">
        <x:f>IF(S22&gt;=0,A22,999)</x:f>
        <x:v>16</x:v>
      </x:c>
      <x:c r="U22" s="22" t="n">
        <x:f>'Допущения'!C31*'Допущения'!$B$8*B22*'Допущения'!$B$17/'Допущения'!$B$18/'Допущения'!$B$16</x:f>
        <x:v>19.83189522342065</x:v>
      </x:c>
      <x:c r="V22" s="7"/>
      <x:c r="W22" s="7"/>
    </x:row>
    <x:row r="23" ht="23" customHeight="1">
      <x:c r="A23" s="1" t="n">
        <x:v>17</x:v>
      </x:c>
      <x:c r="B23" s="17" t="n">
        <x:f>'Допущения'!C46*'Допущения'!D53</x:f>
        <x:v>0.8644067796610169</x:v>
      </x:c>
      <x:c r="C23" s="9" t="n">
        <x:f>'Допущения'!C31*'Допущения'!$B$8*'Допущения'!D31*$B23*(1+'Допущения'!$B$13)^1</x:f>
        <x:v>1782583.2915254233</x:v>
      </x:c>
      <x:c r="D23" s="9" t="n">
        <x:f>'Допущения'!C32*'Допущения'!$B$8*'Допущения'!D32*$B23*(1+'Допущения'!$B$13)^1</x:f>
        <x:v>84884.91864406779</x:v>
      </x:c>
      <x:c r="E23" s="9" t="n">
        <x:f>'Допущения'!C33*'Допущения'!$B$8*'Допущения'!D33*$B23*(1+'Допущения'!$B$13)^1</x:f>
        <x:v>320864.99247457617</x:v>
      </x:c>
      <x:c r="F23" s="9" t="n">
        <x:f>'Допущения'!C34*'Допущения'!$B$8*'Допущения'!D34*$B23*(1+'Допущения'!$B$13)^1</x:f>
        <x:v>381982.13389830507</x:v>
      </x:c>
      <x:c r="G23" s="9" t="n">
        <x:f>'Допущения'!C35*'Допущения'!$B$8*'Допущения'!D35*$B23*(1+'Допущения'!$B$13)^1</x:f>
        <x:v>636636.8898305084</x:v>
      </x:c>
      <x:c r="H23" s="9" t="n">
        <x:f>'Допущения'!C36*'Допущения'!$B$8*'Допущения'!D36*$B23*(1+'Допущения'!$B$13)^1</x:f>
        <x:v>63663.688983050844</x:v>
      </x:c>
      <x:c r="I23" s="9" t="n">
        <x:f>'Допущения'!C37*'Допущения'!$B$8*'Допущения'!D37*$B23*(1+'Допущения'!$B$13)^1</x:f>
        <x:v>0</x:v>
      </x:c>
      <x:c r="J23" s="7" t="n">
        <x:f>SUM(C23:I23)</x:f>
        <x:v>3270615.9153559315</x:v>
      </x:c>
      <x:c r="K23" s="9" t="n">
        <x:f>J23/(1+'Допущения'!$B$9)</x:f>
        <x:v>3114872.300338982</x:v>
      </x:c>
      <x:c r="L23" s="9" t="n">
        <x:f>C23/(1+'Допущения'!$B$9)*'Допущения'!E31+'Допущения'!C31*'Допущения'!$B$8*$B23*'Допущения'!F31*(1+'Допущения'!$B$14)^1+D23/(1+'Допущения'!$B$9)*'Допущения'!E32+'Допущения'!C32*'Допущения'!$B$8*$B23*'Допущения'!F32*(1+'Допущения'!$B$14)^1+E23/(1+'Допущения'!$B$9)*'Допущения'!E33+'Допущения'!C33*'Допущения'!$B$8*$B23*'Допущения'!F33*(1+'Допущения'!$B$14)^1+F23/(1+'Допущения'!$B$9)*'Допущения'!E34+'Допущения'!C34*'Допущения'!$B$8*$B23*'Допущения'!F34*(1+'Допущения'!$B$14)^1+G23/(1+'Допущения'!$B$9)*'Допущения'!E35+'Допущения'!C35*'Допущения'!$B$8*$B23*'Допущения'!F35*(1+'Допущения'!$B$14)^1+H23/(1+'Допущения'!$B$9)*'Допущения'!E36+'Допущения'!C36*'Допущения'!$B$8*$B23*'Допущения'!F36*(1+'Допущения'!$B$14)^1+I23/(1+'Допущения'!$B$9)*'Допущения'!E37+'Допущения'!C37*'Допущения'!$B$8*$B23*'Допущения'!F37*(1+'Допущения'!$B$14)^1</x:f>
        <x:v>420463.29701694904</x:v>
      </x:c>
      <x:c r="M23" s="9" t="n">
        <x:f>J23*'Допущения'!$B$11</x:f>
        <x:v>65412.31830711863</x:v>
      </x:c>
      <x:c r="N23" s="9" t="n">
        <x:f>'Инвестиции'!$C$35*(1+'Допущения'!$B$14)^1</x:f>
        <x:v>1326272.89025</x:v>
      </x:c>
      <x:c r="O23" s="9" t="n">
        <x:f>K23*'Допущения'!$B$10</x:f>
        <x:v>186892.3380203389</x:v>
      </x:c>
      <x:c r="P23" s="9" t="n">
        <x:f>K23*'Допущения'!$B$12</x:f>
        <x:v>62297.446006779646</x:v>
      </x:c>
      <x:c r="Q23" s="7" t="n">
        <x:f>K23-L23-M23-N23</x:f>
        <x:v>1302723.7947649148</x:v>
      </x:c>
      <x:c r="R23" s="7" t="n">
        <x:f>Q23-O23-P23</x:f>
        <x:v>1053534.0107377963</x:v>
      </x:c>
      <x:c r="S23" s="7" t="n">
        <x:f>S22+R23</x:f>
        <x:v>2255392.229840159</x:v>
      </x:c>
      <x:c r="T23" s="7" t="n">
        <x:f>IF(S23&gt;=0,A23,999)</x:f>
        <x:v>17</x:v>
      </x:c>
      <x:c r="U23" s="22" t="n">
        <x:f>'Допущения'!C31*'Допущения'!$B$8*B23*'Допущения'!$B$17/'Допущения'!$B$18/'Допущения'!$B$16</x:f>
        <x:v>18.73012326656394</x:v>
      </x:c>
      <x:c r="V23" s="7"/>
      <x:c r="W23" s="7"/>
    </x:row>
    <x:row r="24" ht="23" customHeight="1">
      <x:c r="A24" s="1" t="n">
        <x:v>18</x:v>
      </x:c>
      <x:c r="B24" s="17" t="n">
        <x:f>'Допущения'!C47*'Допущения'!D53</x:f>
        <x:v>0.7118644067796609</x:v>
      </x:c>
      <x:c r="C24" s="9" t="n">
        <x:f>'Допущения'!C31*'Допущения'!$B$8*'Допущения'!D31*$B24*(1+'Допущения'!$B$13)^1</x:f>
        <x:v>1468009.7694915251</x:v>
      </x:c>
      <x:c r="D24" s="9" t="n">
        <x:f>'Допущения'!C32*'Допущения'!$B$8*'Допущения'!D32*$B24*(1+'Допущения'!$B$13)^1</x:f>
        <x:v>69905.22711864406</x:v>
      </x:c>
      <x:c r="E24" s="9" t="n">
        <x:f>'Допущения'!C33*'Допущения'!$B$8*'Допущения'!D33*$B24*(1+'Допущения'!$B$13)^1</x:f>
        <x:v>264241.7585084745</x:v>
      </x:c>
      <x:c r="F24" s="9" t="n">
        <x:f>'Допущения'!C34*'Допущения'!$B$8*'Допущения'!D34*$B24*(1+'Допущения'!$B$13)^1</x:f>
        <x:v>314573.5220338983</x:v>
      </x:c>
      <x:c r="G24" s="9" t="n">
        <x:f>'Допущения'!C35*'Допущения'!$B$8*'Допущения'!D35*$B24*(1+'Допущения'!$B$13)^1</x:f>
        <x:v>524289.2033898304</x:v>
      </x:c>
      <x:c r="H24" s="9" t="n">
        <x:f>'Допущения'!C36*'Допущения'!$B$8*'Допущения'!D36*$B24*(1+'Допущения'!$B$13)^1</x:f>
        <x:v>52428.92033898304</x:v>
      </x:c>
      <x:c r="I24" s="9" t="n">
        <x:f>'Допущения'!C37*'Допущения'!$B$8*'Допущения'!D37*$B24*(1+'Допущения'!$B$13)^1</x:f>
        <x:v>0</x:v>
      </x:c>
      <x:c r="J24" s="7" t="n">
        <x:f>SUM(C24:I24)</x:f>
        <x:v>2693448.4008813556</x:v>
      </x:c>
      <x:c r="K24" s="9" t="n">
        <x:f>J24/(1+'Допущения'!$B$9)</x:f>
        <x:v>2565188.9532203386</x:v>
      </x:c>
      <x:c r="L24" s="9" t="n">
        <x:f>C24/(1+'Допущения'!$B$9)*'Допущения'!E31+'Допущения'!C31*'Допущения'!$B$8*$B24*'Допущения'!F31*(1+'Допущения'!$B$14)^1+D24/(1+'Допущения'!$B$9)*'Допущения'!E32+'Допущения'!C32*'Допущения'!$B$8*$B24*'Допущения'!F32*(1+'Допущения'!$B$14)^1+E24/(1+'Допущения'!$B$9)*'Допущения'!E33+'Допущения'!C33*'Допущения'!$B$8*$B24*'Допущения'!F33*(1+'Допущения'!$B$14)^1+F24/(1+'Допущения'!$B$9)*'Допущения'!E34+'Допущения'!C34*'Допущения'!$B$8*$B24*'Допущения'!F34*(1+'Допущения'!$B$14)^1+G24/(1+'Допущения'!$B$9)*'Допущения'!E35+'Допущения'!C35*'Допущения'!$B$8*$B24*'Допущения'!F35*(1+'Допущения'!$B$14)^1+H24/(1+'Допущения'!$B$9)*'Допущения'!E36+'Допущения'!C36*'Допущения'!$B$8*$B24*'Допущения'!F36*(1+'Допущения'!$B$14)^1+I24/(1+'Допущения'!$B$9)*'Допущения'!E37+'Допущения'!C37*'Допущения'!$B$8*$B24*'Допущения'!F37*(1+'Допущения'!$B$14)^1</x:f>
        <x:v>346263.89166101685</x:v>
      </x:c>
      <x:c r="M24" s="9" t="n">
        <x:f>J24*'Допущения'!$B$11</x:f>
        <x:v>53868.968017627114</x:v>
      </x:c>
      <x:c r="N24" s="9" t="n">
        <x:f>'Инвестиции'!$C$35*(1+'Допущения'!$B$14)^1</x:f>
        <x:v>1326272.89025</x:v>
      </x:c>
      <x:c r="O24" s="9" t="n">
        <x:f>K24*'Допущения'!$B$10</x:f>
        <x:v>153911.3371932203</x:v>
      </x:c>
      <x:c r="P24" s="9" t="n">
        <x:f>K24*'Допущения'!$B$12</x:f>
        <x:v>51303.77906440677</x:v>
      </x:c>
      <x:c r="Q24" s="7" t="n">
        <x:f>K24-L24-M24-N24</x:f>
        <x:v>838783.2032916949</x:v>
      </x:c>
      <x:c r="R24" s="7" t="n">
        <x:f>Q24-O24-P24</x:f>
        <x:v>633568.0870340678</x:v>
      </x:c>
      <x:c r="S24" s="7" t="n">
        <x:f>S23+R24</x:f>
        <x:v>2888960.3168742266</x:v>
      </x:c>
      <x:c r="T24" s="7" t="n">
        <x:f>IF(S24&gt;=0,A24,999)</x:f>
        <x:v>18</x:v>
      </x:c>
      <x:c r="U24" s="22" t="n">
        <x:f>'Допущения'!C31*'Допущения'!$B$8*B24*'Допущения'!$B$17/'Допущения'!$B$18/'Допущения'!$B$16</x:f>
        <x:v>15.424807395993833</x:v>
      </x:c>
      <x:c r="V24" s="7"/>
      <x:c r="W24" s="7"/>
    </x:row>
    <x:row r="25" ht="23" customHeight="1">
      <x:c r="A25" s="1" t="n">
        <x:v>19</x:v>
      </x:c>
      <x:c r="B25" s="17" t="n">
        <x:f>'Допущения'!C48*'Допущения'!D53</x:f>
        <x:v>0.7627118644067796</x:v>
      </x:c>
      <x:c r="C25" s="9" t="n">
        <x:f>'Допущения'!C31*'Допущения'!$B$8*'Допущения'!D31*$B25*(1+'Допущения'!$B$13)^1</x:f>
        <x:v>1572867.6101694913</x:v>
      </x:c>
      <x:c r="D25" s="9" t="n">
        <x:f>'Допущения'!C32*'Допущения'!$B$8*'Допущения'!D32*$B25*(1+'Допущения'!$B$13)^1</x:f>
        <x:v>74898.45762711864</x:v>
      </x:c>
      <x:c r="E25" s="9" t="n">
        <x:f>'Допущения'!C33*'Допущения'!$B$8*'Допущения'!D33*$B25*(1+'Допущения'!$B$13)^1</x:f>
        <x:v>283116.1698305084</x:v>
      </x:c>
      <x:c r="F25" s="9" t="n">
        <x:f>'Допущения'!C34*'Допущения'!$B$8*'Допущения'!D34*$B25*(1+'Допущения'!$B$13)^1</x:f>
        <x:v>337043.0593220339</x:v>
      </x:c>
      <x:c r="G25" s="9" t="n">
        <x:f>'Допущения'!C35*'Допущения'!$B$8*'Допущения'!D35*$B25*(1+'Допущения'!$B$13)^1</x:f>
        <x:v>561738.4322033898</x:v>
      </x:c>
      <x:c r="H25" s="9" t="n">
        <x:f>'Допущения'!C36*'Допущения'!$B$8*'Допущения'!D36*$B25*(1+'Допущения'!$B$13)^1</x:f>
        <x:v>56173.84322033898</x:v>
      </x:c>
      <x:c r="I25" s="9" t="n">
        <x:f>'Допущения'!C37*'Допущения'!$B$8*'Допущения'!D37*$B25*(1+'Допущения'!$B$13)^1</x:f>
        <x:v>0</x:v>
      </x:c>
      <x:c r="J25" s="7" t="n">
        <x:f>SUM(C25:I25)</x:f>
        <x:v>2885837.572372881</x:v>
      </x:c>
      <x:c r="K25" s="9" t="n">
        <x:f>J25/(1+'Допущения'!$B$9)</x:f>
        <x:v>2748416.73559322</x:v>
      </x:c>
      <x:c r="L25" s="9" t="n">
        <x:f>C25/(1+'Допущения'!$B$9)*'Допущения'!E31+'Допущения'!C31*'Допущения'!$B$8*$B25*'Допущения'!F31*(1+'Допущения'!$B$14)^1+D25/(1+'Допущения'!$B$9)*'Допущения'!E32+'Допущения'!C32*'Допущения'!$B$8*$B25*'Допущения'!F32*(1+'Допущения'!$B$14)^1+E25/(1+'Допущения'!$B$9)*'Допущения'!E33+'Допущения'!C33*'Допущения'!$B$8*$B25*'Допущения'!F33*(1+'Допущения'!$B$14)^1+F25/(1+'Допущения'!$B$9)*'Допущения'!E34+'Допущения'!C34*'Допущения'!$B$8*$B25*'Допущения'!F34*(1+'Допущения'!$B$14)^1+G25/(1+'Допущения'!$B$9)*'Допущения'!E35+'Допущения'!C35*'Допущения'!$B$8*$B25*'Допущения'!F35*(1+'Допущения'!$B$14)^1+H25/(1+'Допущения'!$B$9)*'Допущения'!E36+'Допущения'!C36*'Допущения'!$B$8*$B25*'Допущения'!F36*(1+'Допущения'!$B$14)^1+I25/(1+'Допущения'!$B$9)*'Допущения'!E37+'Допущения'!C37*'Допущения'!$B$8*$B25*'Допущения'!F37*(1+'Допущения'!$B$14)^1</x:f>
        <x:v>370997.026779661</x:v>
      </x:c>
      <x:c r="M25" s="9" t="n">
        <x:f>J25*'Допущения'!$B$11</x:f>
        <x:v>57716.751447457624</x:v>
      </x:c>
      <x:c r="N25" s="9" t="n">
        <x:f>'Инвестиции'!$C$35*(1+'Допущения'!$B$14)^1</x:f>
        <x:v>1326272.89025</x:v>
      </x:c>
      <x:c r="O25" s="9" t="n">
        <x:f>K25*'Допущения'!$B$10</x:f>
        <x:v>164905.00413559322</x:v>
      </x:c>
      <x:c r="P25" s="9" t="n">
        <x:f>K25*'Допущения'!$B$12</x:f>
        <x:v>54968.33471186441</x:v>
      </x:c>
      <x:c r="Q25" s="7" t="n">
        <x:f>K25-L25-M25-N25</x:f>
        <x:v>993430.0671161015</x:v>
      </x:c>
      <x:c r="R25" s="7" t="n">
        <x:f>Q25-O25-P25</x:f>
        <x:v>773556.728268644</x:v>
      </x:c>
      <x:c r="S25" s="7" t="n">
        <x:f>S24+R25</x:f>
        <x:v>3662517.0451428704</x:v>
      </x:c>
      <x:c r="T25" s="7" t="n">
        <x:f>IF(S25&gt;=0,A25,999)</x:f>
        <x:v>19</x:v>
      </x:c>
      <x:c r="U25" s="22" t="n">
        <x:f>'Допущения'!C31*'Допущения'!$B$8*B25*'Допущения'!$B$17/'Допущения'!$B$18/'Допущения'!$B$16</x:f>
        <x:v>16.526579352850536</x:v>
      </x:c>
      <x:c r="V25" s="7"/>
      <x:c r="W25" s="7"/>
    </x:row>
    <x:row r="26" ht="23" customHeight="1">
      <x:c r="A26" s="1" t="n">
        <x:v>20</x:v>
      </x:c>
      <x:c r="B26" s="17" t="n">
        <x:f>'Допущения'!C49*'Допущения'!D53</x:f>
        <x:v>0.8135593220338982</x:v>
      </x:c>
      <x:c r="C26" s="9" t="n">
        <x:f>'Допущения'!C31*'Допущения'!$B$8*'Допущения'!D31*$B26*(1+'Допущения'!$B$13)^1</x:f>
        <x:v>1677725.4508474572</x:v>
      </x:c>
      <x:c r="D26" s="9" t="n">
        <x:f>'Допущения'!C32*'Допущения'!$B$8*'Допущения'!D32*$B26*(1+'Допущения'!$B$13)^1</x:f>
        <x:v>79891.68813559321</x:v>
      </x:c>
      <x:c r="E26" s="9" t="n">
        <x:f>'Допущения'!C33*'Допущения'!$B$8*'Допущения'!D33*$B26*(1+'Допущения'!$B$13)^1</x:f>
        <x:v>301990.5811525423</x:v>
      </x:c>
      <x:c r="F26" s="9" t="n">
        <x:f>'Допущения'!C34*'Допущения'!$B$8*'Допущения'!D34*$B26*(1+'Допущения'!$B$13)^1</x:f>
        <x:v>359512.59661016945</x:v>
      </x:c>
      <x:c r="G26" s="9" t="n">
        <x:f>'Допущения'!C35*'Допущения'!$B$8*'Допущения'!D35*$B26*(1+'Допущения'!$B$13)^1</x:f>
        <x:v>599187.6610169491</x:v>
      </x:c>
      <x:c r="H26" s="9" t="n">
        <x:f>'Допущения'!C36*'Допущения'!$B$8*'Допущения'!D36*$B26*(1+'Допущения'!$B$13)^1</x:f>
        <x:v>59918.76610169491</x:v>
      </x:c>
      <x:c r="I26" s="9" t="n">
        <x:f>'Допущения'!C37*'Допущения'!$B$8*'Допущения'!D37*$B26*(1+'Допущения'!$B$13)^1</x:f>
        <x:v>0</x:v>
      </x:c>
      <x:c r="J26" s="7" t="n">
        <x:f>SUM(C26:I26)</x:f>
        <x:v>3078226.7438644064</x:v>
      </x:c>
      <x:c r="K26" s="9" t="n">
        <x:f>J26/(1+'Допущения'!$B$9)</x:f>
        <x:v>2931644.517966101</x:v>
      </x:c>
      <x:c r="L26" s="9" t="n">
        <x:f>C26/(1+'Допущения'!$B$9)*'Допущения'!E31+'Допущения'!C31*'Допущения'!$B$8*$B26*'Допущения'!F31*(1+'Допущения'!$B$14)^1+D26/(1+'Допущения'!$B$9)*'Допущения'!E32+'Допущения'!C32*'Допущения'!$B$8*$B26*'Допущения'!F32*(1+'Допущения'!$B$14)^1+E26/(1+'Допущения'!$B$9)*'Допущения'!E33+'Допущения'!C33*'Допущения'!$B$8*$B26*'Допущения'!F33*(1+'Допущения'!$B$14)^1+F26/(1+'Допущения'!$B$9)*'Допущения'!E34+'Допущения'!C34*'Допущения'!$B$8*$B26*'Допущения'!F34*(1+'Допущения'!$B$14)^1+G26/(1+'Допущения'!$B$9)*'Допущения'!E35+'Допущения'!C35*'Допущения'!$B$8*$B26*'Допущения'!F35*(1+'Допущения'!$B$14)^1+H26/(1+'Допущения'!$B$9)*'Допущения'!E36+'Допущения'!C36*'Допущения'!$B$8*$B26*'Допущения'!F36*(1+'Допущения'!$B$14)^1+I26/(1+'Допущения'!$B$9)*'Допущения'!E37+'Допущения'!C37*'Допущения'!$B$8*$B26*'Допущения'!F37*(1+'Допущения'!$B$14)^1</x:f>
        <x:v>395730.16189830506</x:v>
      </x:c>
      <x:c r="M26" s="9" t="n">
        <x:f>J26*'Допущения'!$B$11</x:f>
        <x:v>61564.534877288126</x:v>
      </x:c>
      <x:c r="N26" s="9" t="n">
        <x:f>'Инвестиции'!$C$35*(1+'Допущения'!$B$14)^1</x:f>
        <x:v>1326272.89025</x:v>
      </x:c>
      <x:c r="O26" s="9" t="n">
        <x:f>K26*'Допущения'!$B$10</x:f>
        <x:v>175898.67107796605</x:v>
      </x:c>
      <x:c r="P26" s="9" t="n">
        <x:f>K26*'Допущения'!$B$12</x:f>
        <x:v>58632.89035932202</x:v>
      </x:c>
      <x:c r="Q26" s="7" t="n">
        <x:f>K26-L26-M26-N26</x:f>
        <x:v>1148076.9309405077</x:v>
      </x:c>
      <x:c r="R26" s="7" t="n">
        <x:f>Q26-O26-P26</x:f>
        <x:v>913545.3695032196</x:v>
      </x:c>
      <x:c r="S26" s="7" t="n">
        <x:f>S25+R26</x:f>
        <x:v>4576062.41464609</x:v>
      </x:c>
      <x:c r="T26" s="7" t="n">
        <x:f>IF(S26&gt;=0,A26,999)</x:f>
        <x:v>20</x:v>
      </x:c>
      <x:c r="U26" s="22" t="n">
        <x:f>'Допущения'!C31*'Допущения'!$B$8*B26*'Допущения'!$B$17/'Допущения'!$B$18/'Допущения'!$B$16</x:f>
        <x:v>17.62835130970724</x:v>
      </x:c>
      <x:c r="V26" s="7"/>
      <x:c r="W26" s="7"/>
    </x:row>
    <x:row r="27" ht="23" customHeight="1">
      <x:c r="A27" s="1" t="n">
        <x:v>21</x:v>
      </x:c>
      <x:c r="B27" s="17" t="n">
        <x:f>'Допущения'!C50*'Допущения'!D53</x:f>
        <x:v>1.0677966101694916</x:v>
      </x:c>
      <x:c r="C27" s="9" t="n">
        <x:f>'Допущения'!C31*'Допущения'!$B$8*'Допущения'!D31*$B27*(1+'Допущения'!$B$13)^1</x:f>
        <x:v>2202014.654237288</x:v>
      </x:c>
      <x:c r="D27" s="9" t="n">
        <x:f>'Допущения'!C32*'Допущения'!$B$8*'Допущения'!D32*$B27*(1+'Допущения'!$B$13)^1</x:f>
        <x:v>104857.8406779661</x:v>
      </x:c>
      <x:c r="E27" s="9" t="n">
        <x:f>'Допущения'!C33*'Допущения'!$B$8*'Допущения'!D33*$B27*(1+'Допущения'!$B$13)^1</x:f>
        <x:v>396362.63776271185</x:v>
      </x:c>
      <x:c r="F27" s="9" t="n">
        <x:f>'Допущения'!C34*'Допущения'!$B$8*'Допущения'!D34*$B27*(1+'Допущения'!$B$13)^1</x:f>
        <x:v>471860.2830508475</x:v>
      </x:c>
      <x:c r="G27" s="9" t="n">
        <x:f>'Допущения'!C35*'Допущения'!$B$8*'Допущения'!D35*$B27*(1+'Допущения'!$B$13)^1</x:f>
        <x:v>786433.8050847459</x:v>
      </x:c>
      <x:c r="H27" s="9" t="n">
        <x:f>'Допущения'!C36*'Допущения'!$B$8*'Допущения'!D36*$B27*(1+'Допущения'!$B$13)^1</x:f>
        <x:v>78643.38050847458</x:v>
      </x:c>
      <x:c r="I27" s="9" t="n">
        <x:f>'Допущения'!C37*'Допущения'!$B$8*'Допущения'!D37*$B27*(1+'Допущения'!$B$13)^1</x:f>
        <x:v>0</x:v>
      </x:c>
      <x:c r="J27" s="7" t="n">
        <x:f>SUM(C27:I27)</x:f>
        <x:v>4040172.6013220334</x:v>
      </x:c>
      <x:c r="K27" s="9" t="n">
        <x:f>J27/(1+'Допущения'!$B$9)</x:f>
        <x:v>3847783.429830508</x:v>
      </x:c>
      <x:c r="L27" s="9" t="n">
        <x:f>C27/(1+'Допущения'!$B$9)*'Допущения'!E31+'Допущения'!C31*'Допущения'!$B$8*$B27*'Допущения'!F31*(1+'Допущения'!$B$14)^1+D27/(1+'Допущения'!$B$9)*'Допущения'!E32+'Допущения'!C32*'Допущения'!$B$8*$B27*'Допущения'!F32*(1+'Допущения'!$B$14)^1+E27/(1+'Допущения'!$B$9)*'Допущения'!E33+'Допущения'!C33*'Допущения'!$B$8*$B27*'Допущения'!F33*(1+'Допущения'!$B$14)^1+F27/(1+'Допущения'!$B$9)*'Допущения'!E34+'Допущения'!C34*'Допущения'!$B$8*$B27*'Допущения'!F34*(1+'Допущения'!$B$14)^1+G27/(1+'Допущения'!$B$9)*'Допущения'!E35+'Допущения'!C35*'Допущения'!$B$8*$B27*'Допущения'!F35*(1+'Допущения'!$B$14)^1+H27/(1+'Допущения'!$B$9)*'Допущения'!E36+'Допущения'!C36*'Допущения'!$B$8*$B27*'Допущения'!F36*(1+'Допущения'!$B$14)^1+I27/(1+'Допущения'!$B$9)*'Допущения'!E37+'Допущения'!C37*'Допущения'!$B$8*$B27*'Допущения'!F37*(1+'Допущения'!$B$14)^1</x:f>
        <x:v>519395.83749152545</x:v>
      </x:c>
      <x:c r="M27" s="9" t="n">
        <x:f>J27*'Допущения'!$B$11</x:f>
        <x:v>80803.45202644067</x:v>
      </x:c>
      <x:c r="N27" s="9" t="n">
        <x:f>'Инвестиции'!$C$35*(1+'Допущения'!$B$14)^1</x:f>
        <x:v>1326272.89025</x:v>
      </x:c>
      <x:c r="O27" s="9" t="n">
        <x:f>K27*'Допущения'!$B$10</x:f>
        <x:v>230867.00578983047</x:v>
      </x:c>
      <x:c r="P27" s="9" t="n">
        <x:f>K27*'Допущения'!$B$12</x:f>
        <x:v>76955.66859661016</x:v>
      </x:c>
      <x:c r="Q27" s="7" t="n">
        <x:f>K27-L27-M27-N27</x:f>
        <x:v>1921311.2500625418</x:v>
      </x:c>
      <x:c r="R27" s="7" t="n">
        <x:f>Q27-O27-P27</x:f>
        <x:v>1613488.575676101</x:v>
      </x:c>
      <x:c r="S27" s="7" t="n">
        <x:f>S26+R27</x:f>
        <x:v>6189550.990322191</x:v>
      </x:c>
      <x:c r="T27" s="7" t="n">
        <x:f>IF(S27&gt;=0,A27,999)</x:f>
        <x:v>21</x:v>
      </x:c>
      <x:c r="U27" s="22" t="n">
        <x:f>'Допущения'!C31*'Допущения'!$B$8*B27*'Допущения'!$B$17/'Допущения'!$B$18/'Допущения'!$B$16</x:f>
        <x:v>23.137211093990754</x:v>
      </x:c>
      <x:c r="V27" s="7"/>
      <x:c r="W27" s="7"/>
    </x:row>
    <x:row r="28" ht="23" customHeight="1">
      <x:c r="A28" s="1" t="n">
        <x:v>22</x:v>
      </x:c>
      <x:c r="B28" s="17" t="n">
        <x:f>'Допущения'!C51*'Допущения'!D53</x:f>
        <x:v>1.1694915254237286</x:v>
      </x:c>
      <x:c r="C28" s="9" t="n">
        <x:f>'Допущения'!C31*'Допущения'!$B$8*'Допущения'!D31*$B28*(1+'Допущения'!$B$13)^1</x:f>
        <x:v>2411730.3355932194</x:v>
      </x:c>
      <x:c r="D28" s="9" t="n">
        <x:f>'Допущения'!C32*'Допущения'!$B$8*'Допущения'!D32*$B28*(1+'Допущения'!$B$13)^1</x:f>
        <x:v>114844.30169491524</x:v>
      </x:c>
      <x:c r="E28" s="9" t="n">
        <x:f>'Допущения'!C33*'Допущения'!$B$8*'Допущения'!D33*$B28*(1+'Допущения'!$B$13)^1</x:f>
        <x:v>434111.46040677954</x:v>
      </x:c>
      <x:c r="F28" s="9" t="n">
        <x:f>'Допущения'!C34*'Допущения'!$B$8*'Допущения'!D34*$B28*(1+'Допущения'!$B$13)^1</x:f>
        <x:v>516799.3576271186</x:v>
      </x:c>
      <x:c r="G28" s="9" t="n">
        <x:f>'Допущения'!C35*'Допущения'!$B$8*'Допущения'!D35*$B28*(1+'Допущения'!$B$13)^1</x:f>
        <x:v>861332.2627118643</x:v>
      </x:c>
      <x:c r="H28" s="9" t="n">
        <x:f>'Допущения'!C36*'Допущения'!$B$8*'Допущения'!D36*$B28*(1+'Допущения'!$B$13)^1</x:f>
        <x:v>86133.22627118643</x:v>
      </x:c>
      <x:c r="I28" s="9" t="n">
        <x:f>'Допущения'!C37*'Допущения'!$B$8*'Допущения'!D37*$B28*(1+'Допущения'!$B$13)^1</x:f>
        <x:v>0</x:v>
      </x:c>
      <x:c r="J28" s="7" t="n">
        <x:f>SUM(C28:I28)</x:f>
        <x:v>4424950.944305083</x:v>
      </x:c>
      <x:c r="K28" s="9" t="n">
        <x:f>J28/(1+'Допущения'!$B$9)</x:f>
        <x:v>4214238.994576269</x:v>
      </x:c>
      <x:c r="L28" s="9" t="n">
        <x:f>C28/(1+'Допущения'!$B$9)*'Допущения'!E31+'Допущения'!C31*'Допущения'!$B$8*$B28*'Допущения'!F31*(1+'Допущения'!$B$14)^1+D28/(1+'Допущения'!$B$9)*'Допущения'!E32+'Допущения'!C32*'Допущения'!$B$8*$B28*'Допущения'!F32*(1+'Допущения'!$B$14)^1+E28/(1+'Допущения'!$B$9)*'Допущения'!E33+'Допущения'!C33*'Допущения'!$B$8*$B28*'Допущения'!F33*(1+'Допущения'!$B$14)^1+F28/(1+'Допущения'!$B$9)*'Допущения'!E34+'Допущения'!C34*'Допущения'!$B$8*$B28*'Допущения'!F34*(1+'Допущения'!$B$14)^1+G28/(1+'Допущения'!$B$9)*'Допущения'!E35+'Допущения'!C35*'Допущения'!$B$8*$B28*'Допущения'!F35*(1+'Допущения'!$B$14)^1+H28/(1+'Допущения'!$B$9)*'Допущения'!E36+'Допущения'!C36*'Допущения'!$B$8*$B28*'Допущения'!F36*(1+'Допущения'!$B$14)^1+I28/(1+'Допущения'!$B$9)*'Допущения'!E37+'Допущения'!C37*'Допущения'!$B$8*$B28*'Допущения'!F37*(1+'Допущения'!$B$14)^1</x:f>
        <x:v>568862.1077288134</x:v>
      </x:c>
      <x:c r="M28" s="9" t="n">
        <x:f>J28*'Допущения'!$B$11</x:f>
        <x:v>88499.01888610165</x:v>
      </x:c>
      <x:c r="N28" s="9" t="n">
        <x:f>'Инвестиции'!$C$35*(1+'Допущения'!$B$14)^1</x:f>
        <x:v>1326272.89025</x:v>
      </x:c>
      <x:c r="O28" s="9" t="n">
        <x:f>K28*'Допущения'!$B$10</x:f>
        <x:v>252854.33967457613</x:v>
      </x:c>
      <x:c r="P28" s="9" t="n">
        <x:f>K28*'Допущения'!$B$12</x:f>
        <x:v>84284.77989152538</x:v>
      </x:c>
      <x:c r="Q28" s="7" t="n">
        <x:f>K28-L28-M28-N28</x:f>
        <x:v>2230604.9777113544</x:v>
      </x:c>
      <x:c r="R28" s="7" t="n">
        <x:f>Q28-O28-P28</x:f>
        <x:v>1893465.8581452528</x:v>
      </x:c>
      <x:c r="S28" s="7" t="n">
        <x:f>S27+R28</x:f>
        <x:v>8083016.848467444</x:v>
      </x:c>
      <x:c r="T28" s="7" t="n">
        <x:f>IF(S28&gt;=0,A28,999)</x:f>
        <x:v>22</x:v>
      </x:c>
      <x:c r="U28" s="22" t="n">
        <x:f>'Допущения'!C31*'Допущения'!$B$8*B28*'Допущения'!$B$17/'Допущения'!$B$18/'Допущения'!$B$16</x:f>
        <x:v>25.340755007704157</x:v>
      </x:c>
      <x:c r="V28" s="7"/>
      <x:c r="W28" s="7"/>
    </x:row>
    <x:row r="29" ht="23" customHeight="1">
      <x:c r="A29" s="1" t="n">
        <x:v>23</x:v>
      </x:c>
      <x:c r="B29" s="17" t="n">
        <x:f>'Допущения'!C52*'Допущения'!D53</x:f>
        <x:v>1.2203389830508473</x:v>
      </x:c>
      <x:c r="C29" s="9" t="n">
        <x:f>'Допущения'!C31*'Допущения'!$B$8*'Допущения'!D31*$B29*(1+'Допущения'!$B$13)^1</x:f>
        <x:v>2516588.176271186</x:v>
      </x:c>
      <x:c r="D29" s="9" t="n">
        <x:f>'Допущения'!C32*'Допущения'!$B$8*'Допущения'!D32*$B29*(1+'Допущения'!$B$13)^1</x:f>
        <x:v>119837.53220338983</x:v>
      </x:c>
      <x:c r="E29" s="9" t="n">
        <x:f>'Допущения'!C33*'Допущения'!$B$8*'Допущения'!D33*$B29*(1+'Допущения'!$B$13)^1</x:f>
        <x:v>452985.87172881345</x:v>
      </x:c>
      <x:c r="F29" s="9" t="n">
        <x:f>'Допущения'!C34*'Допущения'!$B$8*'Допущения'!D34*$B29*(1+'Допущения'!$B$13)^1</x:f>
        <x:v>539268.8949152542</x:v>
      </x:c>
      <x:c r="G29" s="9" t="n">
        <x:f>'Допущения'!C35*'Допущения'!$B$8*'Допущения'!D35*$B29*(1+'Допущения'!$B$13)^1</x:f>
        <x:v>898781.4915254237</x:v>
      </x:c>
      <x:c r="H29" s="9" t="n">
        <x:f>'Допущения'!C36*'Допущения'!$B$8*'Допущения'!D36*$B29*(1+'Допущения'!$B$13)^1</x:f>
        <x:v>89878.14915254236</x:v>
      </x:c>
      <x:c r="I29" s="9" t="n">
        <x:f>'Допущения'!C37*'Допущения'!$B$8*'Допущения'!D37*$B29*(1+'Допущения'!$B$13)^1</x:f>
        <x:v>0</x:v>
      </x:c>
      <x:c r="J29" s="7" t="n">
        <x:f>SUM(C29:I29)</x:f>
        <x:v>4617340.11579661</x:v>
      </x:c>
      <x:c r="K29" s="9" t="n">
        <x:f>J29/(1+'Допущения'!$B$9)</x:f>
        <x:v>4397466.776949152</x:v>
      </x:c>
      <x:c r="L29" s="9" t="n">
        <x:f>C29/(1+'Допущения'!$B$9)*'Допущения'!E31+'Допущения'!C31*'Допущения'!$B$8*$B29*'Допущения'!F31*(1+'Допущения'!$B$14)^1+D29/(1+'Допущения'!$B$9)*'Допущения'!E32+'Допущения'!C32*'Допущения'!$B$8*$B29*'Допущения'!F32*(1+'Допущения'!$B$14)^1+E29/(1+'Допущения'!$B$9)*'Допущения'!E33+'Допущения'!C33*'Допущения'!$B$8*$B29*'Допущения'!F33*(1+'Допущения'!$B$14)^1+F29/(1+'Допущения'!$B$9)*'Допущения'!E34+'Допущения'!C34*'Допущения'!$B$8*$B29*'Допущения'!F34*(1+'Допущения'!$B$14)^1+G29/(1+'Допущения'!$B$9)*'Допущения'!E35+'Допущения'!C35*'Допущения'!$B$8*$B29*'Допущения'!F35*(1+'Допущения'!$B$14)^1+H29/(1+'Допущения'!$B$9)*'Допущения'!E36+'Допущения'!C36*'Допущения'!$B$8*$B29*'Допущения'!F36*(1+'Допущения'!$B$14)^1+I29/(1+'Допущения'!$B$9)*'Допущения'!E37+'Допущения'!C37*'Допущения'!$B$8*$B29*'Допущения'!F37*(1+'Допущения'!$B$14)^1</x:f>
        <x:v>593595.2428474575</x:v>
      </x:c>
      <x:c r="M29" s="9" t="n">
        <x:f>J29*'Допущения'!$B$11</x:f>
        <x:v>92346.8023159322</x:v>
      </x:c>
      <x:c r="N29" s="9" t="n">
        <x:f>'Инвестиции'!$C$35*(1+'Допущения'!$B$14)^1</x:f>
        <x:v>1326272.89025</x:v>
      </x:c>
      <x:c r="O29" s="9" t="n">
        <x:f>K29*'Допущения'!$B$10</x:f>
        <x:v>263848.0066169491</x:v>
      </x:c>
      <x:c r="P29" s="9" t="n">
        <x:f>K29*'Допущения'!$B$12</x:f>
        <x:v>87949.33553898305</x:v>
      </x:c>
      <x:c r="Q29" s="7" t="n">
        <x:f>K29-L29-M29-N29</x:f>
        <x:v>2385251.841535763</x:v>
      </x:c>
      <x:c r="R29" s="7" t="n">
        <x:f>Q29-O29-P29</x:f>
        <x:v>2033454.4993798307</x:v>
      </x:c>
      <x:c r="S29" s="7" t="n">
        <x:f>S28+R29</x:f>
        <x:v>10116471.347847275</x:v>
      </x:c>
      <x:c r="T29" s="7" t="n">
        <x:f>IF(S29&gt;=0,A29,999)</x:f>
        <x:v>23</x:v>
      </x:c>
      <x:c r="U29" s="22" t="n">
        <x:f>'Допущения'!C31*'Допущения'!$B$8*B29*'Допущения'!$B$17/'Допущения'!$B$18/'Допущения'!$B$16</x:f>
        <x:v>26.442526964560855</x:v>
      </x:c>
      <x:c r="V29" s="7"/>
      <x:c r="W29" s="7"/>
    </x:row>
    <x:row r="30" ht="23" customHeight="1">
      <x:c r="A30" s="1" t="n">
        <x:v>24</x:v>
      </x:c>
      <x:c r="B30" s="17" t="n">
        <x:f>'Допущения'!C53*'Допущения'!D53</x:f>
        <x:v>1.271186440677966</x:v>
      </x:c>
      <x:c r="C30" s="9" t="n">
        <x:f>'Допущения'!C31*'Допущения'!$B$8*'Допущения'!D31*$B30*(1+'Допущения'!$B$13)^1</x:f>
        <x:v>2621446.016949152</x:v>
      </x:c>
      <x:c r="D30" s="9" t="n">
        <x:f>'Допущения'!C32*'Допущения'!$B$8*'Допущения'!D32*$B30*(1+'Допущения'!$B$13)^1</x:f>
        <x:v>124830.7627118644</x:v>
      </x:c>
      <x:c r="E30" s="9" t="n">
        <x:f>'Допущения'!C33*'Допущения'!$B$8*'Допущения'!D33*$B30*(1+'Допущения'!$B$13)^1</x:f>
        <x:v>471860.2830508474</x:v>
      </x:c>
      <x:c r="F30" s="9" t="n">
        <x:f>'Допущения'!C34*'Допущения'!$B$8*'Допущения'!D34*$B30*(1+'Допущения'!$B$13)^1</x:f>
        <x:v>561738.4322033898</x:v>
      </x:c>
      <x:c r="G30" s="9" t="n">
        <x:f>'Допущения'!C35*'Допущения'!$B$8*'Допущения'!D35*$B30*(1+'Допущения'!$B$13)^1</x:f>
        <x:v>936230.7203389831</x:v>
      </x:c>
      <x:c r="H30" s="9" t="n">
        <x:f>'Допущения'!C36*'Допущения'!$B$8*'Допущения'!D36*$B30*(1+'Допущения'!$B$13)^1</x:f>
        <x:v>93623.07203389831</x:v>
      </x:c>
      <x:c r="I30" s="9" t="n">
        <x:f>'Допущения'!C37*'Допущения'!$B$8*'Допущения'!D37*$B30*(1+'Допущения'!$B$13)^1</x:f>
        <x:v>0</x:v>
      </x:c>
      <x:c r="J30" s="7" t="n">
        <x:f>SUM(C30:I30)</x:f>
        <x:v>4809729.287288135</x:v>
      </x:c>
      <x:c r="K30" s="9" t="n">
        <x:f>J30/(1+'Допущения'!$B$9)</x:f>
        <x:v>4580694.559322033</x:v>
      </x:c>
      <x:c r="L30" s="9" t="n">
        <x:f>C30/(1+'Допущения'!$B$9)*'Допущения'!E31+'Допущения'!C31*'Допущения'!$B$8*$B30*'Допущения'!F31*(1+'Допущения'!$B$14)^1+D30/(1+'Допущения'!$B$9)*'Допущения'!E32+'Допущения'!C32*'Допущения'!$B$8*$B30*'Допущения'!F32*(1+'Допущения'!$B$14)^1+E30/(1+'Допущения'!$B$9)*'Допущения'!E33+'Допущения'!C33*'Допущения'!$B$8*$B30*'Допущения'!F33*(1+'Допущения'!$B$14)^1+F30/(1+'Допущения'!$B$9)*'Допущения'!E34+'Допущения'!C34*'Допущения'!$B$8*$B30*'Допущения'!F34*(1+'Допущения'!$B$14)^1+G30/(1+'Допущения'!$B$9)*'Допущения'!E35+'Допущения'!C35*'Допущения'!$B$8*$B30*'Допущения'!F35*(1+'Допущения'!$B$14)^1+H30/(1+'Допущения'!$B$9)*'Допущения'!E36+'Допущения'!C36*'Допущения'!$B$8*$B30*'Допущения'!F36*(1+'Допущения'!$B$14)^1+I30/(1+'Допущения'!$B$9)*'Допущения'!E37+'Допущения'!C37*'Допущения'!$B$8*$B30*'Допущения'!F37*(1+'Допущения'!$B$14)^1</x:f>
        <x:v>618328.3779661016</x:v>
      </x:c>
      <x:c r="M30" s="9" t="n">
        <x:f>J30*'Допущения'!$B$11</x:f>
        <x:v>96194.5857457627</x:v>
      </x:c>
      <x:c r="N30" s="9" t="n">
        <x:f>'Инвестиции'!$C$35*(1+'Допущения'!$B$14)^1</x:f>
        <x:v>1326272.89025</x:v>
      </x:c>
      <x:c r="O30" s="9" t="n">
        <x:f>K30*'Допущения'!$B$10</x:f>
        <x:v>274841.67355932196</x:v>
      </x:c>
      <x:c r="P30" s="9" t="n">
        <x:f>K30*'Допущения'!$B$12</x:f>
        <x:v>91613.89118644067</x:v>
      </x:c>
      <x:c r="Q30" s="7" t="n">
        <x:f>K30-L30-M30-N30</x:f>
        <x:v>2539898.7053601686</x:v>
      </x:c>
      <x:c r="R30" s="7" t="n">
        <x:f>Q30-O30-P30</x:f>
        <x:v>2173443.1406144057</x:v>
      </x:c>
      <x:c r="S30" s="7" t="n">
        <x:f>S29+R30</x:f>
        <x:v>12289914.48846168</x:v>
      </x:c>
      <x:c r="T30" s="7" t="n">
        <x:f>IF(S30&gt;=0,A30,999)</x:f>
        <x:v>24</x:v>
      </x:c>
      <x:c r="U30" s="22" t="n">
        <x:f>'Допущения'!C31*'Допущения'!$B$8*B30*'Допущения'!$B$17/'Допущения'!$B$18/'Допущения'!$B$16</x:f>
        <x:v>27.544298921417564</x:v>
      </x:c>
      <x:c r="V30" s="7"/>
      <x:c r="W30" s="7"/>
    </x:row>
    <x:row r="31" ht="23" customHeight="1">
      <x:c r="A31" s="1" t="n">
        <x:v>25</x:v>
      </x:c>
      <x:c r="B31" s="17" t="n">
        <x:f>'Допущения'!C42*'Допущения'!D53</x:f>
        <x:v>1.1186440677966103</x:v>
      </x:c>
      <x:c r="C31" s="9" t="n">
        <x:f>'Допущения'!C31*'Допущения'!$B$8*'Допущения'!D31*$B31*(1+'Допущения'!$B$13)^2</x:f>
        <x:v>2376078.669762712</x:v>
      </x:c>
      <x:c r="D31" s="9" t="n">
        <x:f>'Допущения'!C32*'Допущения'!$B$8*'Допущения'!D32*$B31*(1+'Допущения'!$B$13)^2</x:f>
        <x:v>113146.60332203392</x:v>
      </x:c>
      <x:c r="E31" s="9" t="n">
        <x:f>'Допущения'!C33*'Допущения'!$B$8*'Допущения'!D33*$B31*(1+'Допущения'!$B$13)^2</x:f>
        <x:v>427694.1605572881</x:v>
      </x:c>
      <x:c r="F31" s="9" t="n">
        <x:f>'Допущения'!C34*'Допущения'!$B$8*'Допущения'!D34*$B31*(1+'Допущения'!$B$13)^2</x:f>
        <x:v>509159.71494915255</x:v>
      </x:c>
      <x:c r="G31" s="9" t="n">
        <x:f>'Допущения'!C35*'Допущения'!$B$8*'Допущения'!D35*$B31*(1+'Допущения'!$B$13)^2</x:f>
        <x:v>848599.5249152543</x:v>
      </x:c>
      <x:c r="H31" s="9" t="n">
        <x:f>'Допущения'!C36*'Допущения'!$B$8*'Допущения'!D36*$B31*(1+'Допущения'!$B$13)^2</x:f>
        <x:v>84859.95249152543</x:v>
      </x:c>
      <x:c r="I31" s="9" t="n">
        <x:f>'Допущения'!C37*'Допущения'!$B$8*'Допущения'!D37*$B31*(1+'Допущения'!$B$13)^2</x:f>
        <x:v>0</x:v>
      </x:c>
      <x:c r="J31" s="7" t="n">
        <x:f>SUM(C31:I31)</x:f>
        <x:v>4359538.625997966</x:v>
      </x:c>
      <x:c r="K31" s="9" t="n">
        <x:f>J31/(1+'Допущения'!$B$9)</x:f>
        <x:v>4151941.5485694916</x:v>
      </x:c>
      <x:c r="L31" s="9" t="n">
        <x:f>C31/(1+'Допущения'!$B$9)*'Допущения'!E31+'Допущения'!C31*'Допущения'!$B$8*$B31*'Допущения'!F31*(1+'Допущения'!$B$14)^2+D31/(1+'Допущения'!$B$9)*'Допущения'!E32+'Допущения'!C32*'Допущения'!$B$8*$B31*'Допущения'!F32*(1+'Допущения'!$B$14)^2+E31/(1+'Допущения'!$B$9)*'Допущения'!E33+'Допущения'!C33*'Допущения'!$B$8*$B31*'Допущения'!F33*(1+'Допущения'!$B$14)^2+F31/(1+'Допущения'!$B$9)*'Допущения'!E34+'Допущения'!C34*'Допущения'!$B$8*$B31*'Допущения'!F34*(1+'Допущения'!$B$14)^2+G31/(1+'Допущения'!$B$9)*'Допущения'!E35+'Допущения'!C35*'Допущения'!$B$8*$B31*'Допущения'!F35*(1+'Допущения'!$B$14)^2+H31/(1+'Допущения'!$B$9)*'Допущения'!E36+'Допущения'!C36*'Допущения'!$B$8*$B31*'Допущения'!F36*(1+'Допущения'!$B$14)^2+I31/(1+'Допущения'!$B$9)*'Допущения'!E37+'Допущения'!C37*'Допущения'!$B$8*$B31*'Допущения'!F37*(1+'Допущения'!$B$14)^2</x:f>
        <x:v>560452.8417884746</x:v>
      </x:c>
      <x:c r="M31" s="9" t="n">
        <x:f>J31*'Допущения'!$B$11</x:f>
        <x:v>87190.77251995933</x:v>
      </x:c>
      <x:c r="N31" s="9" t="n">
        <x:f>'Инвестиции'!$C$35*(1+'Допущения'!$B$14)^2</x:f>
        <x:v>1392586.5347625</x:v>
      </x:c>
      <x:c r="O31" s="9" t="n">
        <x:f>K31*'Допущения'!$B$10</x:f>
        <x:v>249116.49291416947</x:v>
      </x:c>
      <x:c r="P31" s="9" t="n">
        <x:f>K31*'Допущения'!$B$12</x:f>
        <x:v>83038.83097138983</x:v>
      </x:c>
      <x:c r="Q31" s="7" t="n">
        <x:f>K31-L31-M31-N31</x:f>
        <x:v>2111711.3994985577</x:v>
      </x:c>
      <x:c r="R31" s="7" t="n">
        <x:f>Q31-O31-P31</x:f>
        <x:v>1779556.0756129983</x:v>
      </x:c>
      <x:c r="S31" s="7" t="n">
        <x:f>S30+R31</x:f>
        <x:v>14069470.564074678</x:v>
      </x:c>
      <x:c r="T31" s="7" t="n">
        <x:f>IF(S31&gt;=0,A31,999)</x:f>
        <x:v>25</x:v>
      </x:c>
      <x:c r="U31" s="22" t="n">
        <x:f>'Допущения'!C31*'Допущения'!$B$8*B31*'Допущения'!$B$17/'Допущения'!$B$18/'Допущения'!$B$16</x:f>
        <x:v>24.23898305084746</x:v>
      </x:c>
      <x:c r="V31" s="7"/>
      <x:c r="W31" s="7"/>
    </x:row>
    <x:row r="32" ht="23" customHeight="1">
      <x:c r="A32" s="1" t="n">
        <x:v>26</x:v>
      </x:c>
      <x:c r="B32" s="17" t="n">
        <x:f>'Допущения'!C43*'Допущения'!D53</x:f>
        <x:v>1.0677966101694916</x:v>
      </x:c>
      <x:c r="C32" s="9" t="n">
        <x:f>'Допущения'!C31*'Допущения'!$B$8*'Допущения'!D31*$B32*(1+'Допущения'!$B$13)^2</x:f>
        <x:v>2268075.0938644065</x:v>
      </x:c>
      <x:c r="D32" s="9" t="n">
        <x:f>'Допущения'!C32*'Допущения'!$B$8*'Допущения'!D32*$B32*(1+'Допущения'!$B$13)^2</x:f>
        <x:v>108003.57589830509</x:v>
      </x:c>
      <x:c r="E32" s="9" t="n">
        <x:f>'Допущения'!C33*'Допущения'!$B$8*'Допущения'!D33*$B32*(1+'Допущения'!$B$13)^2</x:f>
        <x:v>408253.5168955932</x:v>
      </x:c>
      <x:c r="F32" s="9" t="n">
        <x:f>'Допущения'!C34*'Допущения'!$B$8*'Допущения'!D34*$B32*(1+'Допущения'!$B$13)^2</x:f>
        <x:v>486016.09154237283</x:v>
      </x:c>
      <x:c r="G32" s="9" t="n">
        <x:f>'Допущения'!C35*'Допущения'!$B$8*'Допущения'!D35*$B32*(1+'Допущения'!$B$13)^2</x:f>
        <x:v>810026.8192372882</x:v>
      </x:c>
      <x:c r="H32" s="9" t="n">
        <x:f>'Допущения'!C36*'Допущения'!$B$8*'Допущения'!D36*$B32*(1+'Допущения'!$B$13)^2</x:f>
        <x:v>81002.68192372881</x:v>
      </x:c>
      <x:c r="I32" s="9" t="n">
        <x:f>'Допущения'!C37*'Допущения'!$B$8*'Допущения'!D37*$B32*(1+'Допущения'!$B$13)^2</x:f>
        <x:v>0</x:v>
      </x:c>
      <x:c r="J32" s="7" t="n">
        <x:f>SUM(C32:I32)</x:f>
        <x:v>4161377.7793616946</x:v>
      </x:c>
      <x:c r="K32" s="9" t="n">
        <x:f>J32/(1+'Допущения'!$B$9)</x:f>
        <x:v>3963216.932725423</x:v>
      </x:c>
      <x:c r="L32" s="9" t="n">
        <x:f>C32/(1+'Допущения'!$B$9)*'Допущения'!E31+'Допущения'!C31*'Допущения'!$B$8*$B32*'Допущения'!F31*(1+'Допущения'!$B$14)^2+D32/(1+'Допущения'!$B$9)*'Допущения'!E32+'Допущения'!C32*'Допущения'!$B$8*$B32*'Допущения'!F32*(1+'Допущения'!$B$14)^2+E32/(1+'Допущения'!$B$9)*'Допущения'!E33+'Допущения'!C33*'Допущения'!$B$8*$B32*'Допущения'!F33*(1+'Допущения'!$B$14)^2+F32/(1+'Допущения'!$B$9)*'Допущения'!E34+'Допущения'!C34*'Допущения'!$B$8*$B32*'Допущения'!F34*(1+'Допущения'!$B$14)^2+G32/(1+'Допущения'!$B$9)*'Допущения'!E35+'Допущения'!C35*'Допущения'!$B$8*$B32*'Допущения'!F35*(1+'Допущения'!$B$14)^2+H32/(1+'Допущения'!$B$9)*'Допущения'!E36+'Допущения'!C36*'Допущения'!$B$8*$B32*'Допущения'!F36*(1+'Допущения'!$B$14)^2+I32/(1+'Допущения'!$B$9)*'Допущения'!E37+'Допущения'!C37*'Допущения'!$B$8*$B32*'Допущения'!F37*(1+'Допущения'!$B$14)^2</x:f>
        <x:v>534977.7126162711</x:v>
      </x:c>
      <x:c r="M32" s="9" t="n">
        <x:f>J32*'Допущения'!$B$11</x:f>
        <x:v>83227.55558723389</x:v>
      </x:c>
      <x:c r="N32" s="9" t="n">
        <x:f>'Инвестиции'!$C$35*(1+'Допущения'!$B$14)^2</x:f>
        <x:v>1392586.5347625</x:v>
      </x:c>
      <x:c r="O32" s="9" t="n">
        <x:f>K32*'Допущения'!$B$10</x:f>
        <x:v>237793.01596352537</x:v>
      </x:c>
      <x:c r="P32" s="9" t="n">
        <x:f>K32*'Допущения'!$B$12</x:f>
        <x:v>79264.33865450846</x:v>
      </x:c>
      <x:c r="Q32" s="7" t="n">
        <x:f>K32-L32-M32-N32</x:f>
        <x:v>1952425.1297594176</x:v>
      </x:c>
      <x:c r="R32" s="7" t="n">
        <x:f>Q32-O32-P32</x:f>
        <x:v>1635367.775141384</x:v>
      </x:c>
      <x:c r="S32" s="7" t="n">
        <x:f>S31+R32</x:f>
        <x:v>15704838.339216063</x:v>
      </x:c>
      <x:c r="T32" s="7" t="n">
        <x:f>IF(S32&gt;=0,A32,999)</x:f>
        <x:v>26</x:v>
      </x:c>
      <x:c r="U32" s="22" t="n">
        <x:f>'Допущения'!C31*'Допущения'!$B$8*B32*'Допущения'!$B$17/'Допущения'!$B$18/'Допущения'!$B$16</x:f>
        <x:v>23.137211093990754</x:v>
      </x:c>
      <x:c r="V32" s="7"/>
      <x:c r="W32" s="7"/>
    </x:row>
    <x:row r="33" ht="23" customHeight="1">
      <x:c r="A33" s="1" t="n">
        <x:v>27</x:v>
      </x:c>
      <x:c r="B33" s="17" t="n">
        <x:f>'Допущения'!C44*'Допущения'!D53</x:f>
        <x:v>1.0169491525423728</x:v>
      </x:c>
      <x:c r="C33" s="9" t="n">
        <x:f>'Допущения'!C31*'Допущения'!$B$8*'Допущения'!D31*$B33*(1+'Допущения'!$B$13)^2</x:f>
        <x:v>2160071.5179661014</x:v>
      </x:c>
      <x:c r="D33" s="9" t="n">
        <x:f>'Допущения'!C32*'Допущения'!$B$8*'Допущения'!D32*$B33*(1+'Допущения'!$B$13)^2</x:f>
        <x:v>102860.54847457625</x:v>
      </x:c>
      <x:c r="E33" s="9" t="n">
        <x:f>'Допущения'!C33*'Допущения'!$B$8*'Допущения'!D33*$B33*(1+'Допущения'!$B$13)^2</x:f>
        <x:v>388812.8732338982</x:v>
      </x:c>
      <x:c r="F33" s="9" t="n">
        <x:f>'Допущения'!C34*'Допущения'!$B$8*'Допущения'!D34*$B33*(1+'Допущения'!$B$13)^2</x:f>
        <x:v>462872.46813559317</x:v>
      </x:c>
      <x:c r="G33" s="9" t="n">
        <x:f>'Допущения'!C35*'Допущения'!$B$8*'Допущения'!D35*$B33*(1+'Допущения'!$B$13)^2</x:f>
        <x:v>771454.113559322</x:v>
      </x:c>
      <x:c r="H33" s="9" t="n">
        <x:f>'Допущения'!C36*'Допущения'!$B$8*'Допущения'!D36*$B33*(1+'Допущения'!$B$13)^2</x:f>
        <x:v>77145.41135593218</x:v>
      </x:c>
      <x:c r="I33" s="9" t="n">
        <x:f>'Допущения'!C37*'Допущения'!$B$8*'Допущения'!D37*$B33*(1+'Допущения'!$B$13)^2</x:f>
        <x:v>0</x:v>
      </x:c>
      <x:c r="J33" s="7" t="n">
        <x:f>SUM(C33:I33)</x:f>
        <x:v>3963216.932725423</x:v>
      </x:c>
      <x:c r="K33" s="9" t="n">
        <x:f>J33/(1+'Допущения'!$B$9)</x:f>
        <x:v>3774492.316881355</x:v>
      </x:c>
      <x:c r="L33" s="9" t="n">
        <x:f>C33/(1+'Допущения'!$B$9)*'Допущения'!E31+'Допущения'!C31*'Допущения'!$B$8*$B33*'Допущения'!F31*(1+'Допущения'!$B$14)^2+D33/(1+'Допущения'!$B$9)*'Допущения'!E32+'Допущения'!C32*'Допущения'!$B$8*$B33*'Допущения'!F32*(1+'Допущения'!$B$14)^2+E33/(1+'Допущения'!$B$9)*'Допущения'!E33+'Допущения'!C33*'Допущения'!$B$8*$B33*'Допущения'!F33*(1+'Допущения'!$B$14)^2+F33/(1+'Допущения'!$B$9)*'Допущения'!E34+'Допущения'!C34*'Допущения'!$B$8*$B33*'Допущения'!F34*(1+'Допущения'!$B$14)^2+G33/(1+'Допущения'!$B$9)*'Допущения'!E35+'Допущения'!C35*'Допущения'!$B$8*$B33*'Допущения'!F35*(1+'Допущения'!$B$14)^2+H33/(1+'Допущения'!$B$9)*'Допущения'!E36+'Допущения'!C36*'Допущения'!$B$8*$B33*'Допущения'!F36*(1+'Допущения'!$B$14)^2+I33/(1+'Допущения'!$B$9)*'Допущения'!E37+'Допущения'!C37*'Допущения'!$B$8*$B33*'Допущения'!F37*(1+'Допущения'!$B$14)^2</x:f>
        <x:v>509502.58344406774</x:v>
      </x:c>
      <x:c r="M33" s="9" t="n">
        <x:f>J33*'Допущения'!$B$11</x:f>
        <x:v>79264.33865450846</x:v>
      </x:c>
      <x:c r="N33" s="9" t="n">
        <x:f>'Инвестиции'!$C$35*(1+'Допущения'!$B$14)^2</x:f>
        <x:v>1392586.5347625</x:v>
      </x:c>
      <x:c r="O33" s="9" t="n">
        <x:f>K33*'Допущения'!$B$10</x:f>
        <x:v>226469.5390128813</x:v>
      </x:c>
      <x:c r="P33" s="9" t="n">
        <x:f>K33*'Допущения'!$B$12</x:f>
        <x:v>75489.8463376271</x:v>
      </x:c>
      <x:c r="Q33" s="7" t="n">
        <x:f>K33-L33-M33-N33</x:f>
        <x:v>1793138.8600202787</x:v>
      </x:c>
      <x:c r="R33" s="7" t="n">
        <x:f>Q33-O33-P33</x:f>
        <x:v>1491179.4746697703</x:v>
      </x:c>
      <x:c r="S33" s="7" t="n">
        <x:f>S32+R33</x:f>
        <x:v>17196017.813885834</x:v>
      </x:c>
      <x:c r="T33" s="7" t="n">
        <x:f>IF(S33&gt;=0,A33,999)</x:f>
        <x:v>27</x:v>
      </x:c>
      <x:c r="U33" s="22" t="n">
        <x:f>'Допущения'!C31*'Допущения'!$B$8*B33*'Допущения'!$B$17/'Допущения'!$B$18/'Допущения'!$B$16</x:f>
        <x:v>22.03543913713405</x:v>
      </x:c>
      <x:c r="V33" s="7"/>
      <x:c r="W33" s="7"/>
    </x:row>
    <x:row r="34" ht="23" customHeight="1">
      <x:c r="A34" s="1" t="n">
        <x:v>28</x:v>
      </x:c>
      <x:c r="B34" s="17" t="n">
        <x:f>'Допущения'!C45*'Допущения'!D53</x:f>
        <x:v>0.9152542372881356</x:v>
      </x:c>
      <x:c r="C34" s="9" t="n">
        <x:f>'Допущения'!C31*'Допущения'!$B$8*'Допущения'!D31*$B34*(1+'Допущения'!$B$13)^2</x:f>
        <x:v>1944064.366169491</x:v>
      </x:c>
      <x:c r="D34" s="9" t="n">
        <x:f>'Допущения'!C32*'Допущения'!$B$8*'Допущения'!D32*$B34*(1+'Допущения'!$B$13)^2</x:f>
        <x:v>92574.49362711865</x:v>
      </x:c>
      <x:c r="E34" s="9" t="n">
        <x:f>'Допущения'!C33*'Допущения'!$B$8*'Допущения'!D33*$B34*(1+'Допущения'!$B$13)^2</x:f>
        <x:v>349931.5859105084</x:v>
      </x:c>
      <x:c r="F34" s="9" t="n">
        <x:f>'Допущения'!C34*'Допущения'!$B$8*'Допущения'!D34*$B34*(1+'Допущения'!$B$13)^2</x:f>
        <x:v>416585.22132203385</x:v>
      </x:c>
      <x:c r="G34" s="9" t="n">
        <x:f>'Допущения'!C35*'Допущения'!$B$8*'Допущения'!D35*$B34*(1+'Допущения'!$B$13)^2</x:f>
        <x:v>694308.7022033897</x:v>
      </x:c>
      <x:c r="H34" s="9" t="n">
        <x:f>'Допущения'!C36*'Допущения'!$B$8*'Допущения'!D36*$B34*(1+'Допущения'!$B$13)^2</x:f>
        <x:v>69430.87022033898</x:v>
      </x:c>
      <x:c r="I34" s="9" t="n">
        <x:f>'Допущения'!C37*'Допущения'!$B$8*'Допущения'!D37*$B34*(1+'Допущения'!$B$13)^2</x:f>
        <x:v>0</x:v>
      </x:c>
      <x:c r="J34" s="7" t="n">
        <x:f>SUM(C34:I34)</x:f>
        <x:v>3566895.239452881</x:v>
      </x:c>
      <x:c r="K34" s="9" t="n">
        <x:f>J34/(1+'Допущения'!$B$9)</x:f>
        <x:v>3397043.0851932196</x:v>
      </x:c>
      <x:c r="L34" s="9" t="n">
        <x:f>C34/(1+'Допущения'!$B$9)*'Допущения'!E31+'Допущения'!C31*'Допущения'!$B$8*$B34*'Допущения'!F31*(1+'Допущения'!$B$14)^2+D34/(1+'Допущения'!$B$9)*'Допущения'!E32+'Допущения'!C32*'Допущения'!$B$8*$B34*'Допущения'!F32*(1+'Допущения'!$B$14)^2+E34/(1+'Допущения'!$B$9)*'Допущения'!E33+'Допущения'!C33*'Допущения'!$B$8*$B34*'Допущения'!F33*(1+'Допущения'!$B$14)^2+F34/(1+'Допущения'!$B$9)*'Допущения'!E34+'Допущения'!C34*'Допущения'!$B$8*$B34*'Допущения'!F34*(1+'Допущения'!$B$14)^2+G34/(1+'Допущения'!$B$9)*'Допущения'!E35+'Допущения'!C35*'Допущения'!$B$8*$B34*'Допущения'!F35*(1+'Допущения'!$B$14)^2+H34/(1+'Допущения'!$B$9)*'Допущения'!E36+'Допущения'!C36*'Допущения'!$B$8*$B34*'Допущения'!F36*(1+'Допущения'!$B$14)^2+I34/(1+'Допущения'!$B$9)*'Допущения'!E37+'Допущения'!C37*'Допущения'!$B$8*$B34*'Допущения'!F37*(1+'Допущения'!$B$14)^2</x:f>
        <x:v>458552.3250996609</x:v>
      </x:c>
      <x:c r="M34" s="9" t="n">
        <x:f>J34*'Допущения'!$B$11</x:f>
        <x:v>71337.90478905762</x:v>
      </x:c>
      <x:c r="N34" s="9" t="n">
        <x:f>'Инвестиции'!$C$35*(1+'Допущения'!$B$14)^2</x:f>
        <x:v>1392586.5347625</x:v>
      </x:c>
      <x:c r="O34" s="9" t="n">
        <x:f>K34*'Допущения'!$B$10</x:f>
        <x:v>203822.58511159316</x:v>
      </x:c>
      <x:c r="P34" s="9" t="n">
        <x:f>K34*'Допущения'!$B$12</x:f>
        <x:v>67940.86170386439</x:v>
      </x:c>
      <x:c r="Q34" s="7" t="n">
        <x:f>K34-L34-M34-N34</x:f>
        <x:v>1474566.320542001</x:v>
      </x:c>
      <x:c r="R34" s="7" t="n">
        <x:f>Q34-O34-P34</x:f>
        <x:v>1202802.8737265435</x:v>
      </x:c>
      <x:c r="S34" s="7" t="n">
        <x:f>S33+R34</x:f>
        <x:v>18398820.687612377</x:v>
      </x:c>
      <x:c r="T34" s="7" t="n">
        <x:f>IF(S34&gt;=0,A34,999)</x:f>
        <x:v>28</x:v>
      </x:c>
      <x:c r="U34" s="22" t="n">
        <x:f>'Допущения'!C31*'Допущения'!$B$8*B34*'Допущения'!$B$17/'Допущения'!$B$18/'Допущения'!$B$16</x:f>
        <x:v>19.83189522342065</x:v>
      </x:c>
      <x:c r="V34" s="7"/>
      <x:c r="W34" s="7"/>
    </x:row>
    <x:row r="35" ht="23" customHeight="1">
      <x:c r="A35" s="1" t="n">
        <x:v>29</x:v>
      </x:c>
      <x:c r="B35" s="17" t="n">
        <x:f>'Допущения'!C46*'Допущения'!D53</x:f>
        <x:v>0.8644067796610169</x:v>
      </x:c>
      <x:c r="C35" s="9" t="n">
        <x:f>'Допущения'!C31*'Допущения'!$B$8*'Допущения'!D31*$B35*(1+'Допущения'!$B$13)^2</x:f>
        <x:v>1836060.7902711858</x:v>
      </x:c>
      <x:c r="D35" s="9" t="n">
        <x:f>'Допущения'!C32*'Допущения'!$B$8*'Допущения'!D32*$B35*(1+'Допущения'!$B$13)^2</x:f>
        <x:v>87431.46620338982</x:v>
      </x:c>
      <x:c r="E35" s="9" t="n">
        <x:f>'Допущения'!C33*'Допущения'!$B$8*'Допущения'!D33*$B35*(1+'Допущения'!$B$13)^2</x:f>
        <x:v>330490.94224881346</x:v>
      </x:c>
      <x:c r="F35" s="9" t="n">
        <x:f>'Допущения'!C34*'Допущения'!$B$8*'Допущения'!D34*$B35*(1+'Допущения'!$B$13)^2</x:f>
        <x:v>393441.5979152542</x:v>
      </x:c>
      <x:c r="G35" s="9" t="n">
        <x:f>'Допущения'!C35*'Допущения'!$B$8*'Допущения'!D35*$B35*(1+'Допущения'!$B$13)^2</x:f>
        <x:v>655735.9965254236</x:v>
      </x:c>
      <x:c r="H35" s="9" t="n">
        <x:f>'Допущения'!C36*'Допущения'!$B$8*'Допущения'!D36*$B35*(1+'Допущения'!$B$13)^2</x:f>
        <x:v>65573.59965254237</x:v>
      </x:c>
      <x:c r="I35" s="9" t="n">
        <x:f>'Допущения'!C37*'Допущения'!$B$8*'Допущения'!D37*$B35*(1+'Допущения'!$B$13)^2</x:f>
        <x:v>0</x:v>
      </x:c>
      <x:c r="J35" s="7" t="n">
        <x:f>SUM(C35:I35)</x:f>
        <x:v>3368734.3928166092</x:v>
      </x:c>
      <x:c r="K35" s="9" t="n">
        <x:f>J35/(1+'Допущения'!$B$9)</x:f>
        <x:v>3208318.4693491515</x:v>
      </x:c>
      <x:c r="L35" s="9" t="n">
        <x:f>C35/(1+'Допущения'!$B$9)*'Допущения'!E31+'Допущения'!C31*'Допущения'!$B$8*$B35*'Допущения'!F31*(1+'Допущения'!$B$14)^2+D35/(1+'Допущения'!$B$9)*'Допущения'!E32+'Допущения'!C32*'Допущения'!$B$8*$B35*'Допущения'!F32*(1+'Допущения'!$B$14)^2+E35/(1+'Допущения'!$B$9)*'Допущения'!E33+'Допущения'!C33*'Допущения'!$B$8*$B35*'Допущения'!F33*(1+'Допущения'!$B$14)^2+F35/(1+'Допущения'!$B$9)*'Допущения'!E34+'Допущения'!C34*'Допущения'!$B$8*$B35*'Допущения'!F34*(1+'Допущения'!$B$14)^2+G35/(1+'Допущения'!$B$9)*'Допущения'!E35+'Допущения'!C35*'Допущения'!$B$8*$B35*'Допущения'!F35*(1+'Допущения'!$B$14)^2+H35/(1+'Допущения'!$B$9)*'Допущения'!E36+'Допущения'!C36*'Допущения'!$B$8*$B35*'Допущения'!F36*(1+'Допущения'!$B$14)^2+I35/(1+'Допущения'!$B$9)*'Допущения'!E37+'Допущения'!C37*'Допущения'!$B$8*$B35*'Допущения'!F37*(1+'Допущения'!$B$14)^2</x:f>
        <x:v>433077.19592745753</x:v>
      </x:c>
      <x:c r="M35" s="9" t="n">
        <x:f>J35*'Допущения'!$B$11</x:f>
        <x:v>67374.68785633218</x:v>
      </x:c>
      <x:c r="N35" s="9" t="n">
        <x:f>'Инвестиции'!$C$35*(1+'Допущения'!$B$14)^2</x:f>
        <x:v>1392586.5347625</x:v>
      </x:c>
      <x:c r="O35" s="9" t="n">
        <x:f>K35*'Допущения'!$B$10</x:f>
        <x:v>192499.10816094908</x:v>
      </x:c>
      <x:c r="P35" s="9" t="n">
        <x:f>K35*'Допущения'!$B$12</x:f>
        <x:v>64166.36938698303</x:v>
      </x:c>
      <x:c r="Q35" s="7" t="n">
        <x:f>K35-L35-M35-N35</x:f>
        <x:v>1315280.0508028616</x:v>
      </x:c>
      <x:c r="R35" s="7" t="n">
        <x:f>Q35-O35-P35</x:f>
        <x:v>1058614.5732549294</x:v>
      </x:c>
      <x:c r="S35" s="7" t="n">
        <x:f>S34+R35</x:f>
        <x:v>19457435.260867305</x:v>
      </x:c>
      <x:c r="T35" s="7" t="n">
        <x:f>IF(S35&gt;=0,A35,999)</x:f>
        <x:v>29</x:v>
      </x:c>
      <x:c r="U35" s="22" t="n">
        <x:f>'Допущения'!C31*'Допущения'!$B$8*B35*'Допущения'!$B$17/'Допущения'!$B$18/'Допущения'!$B$16</x:f>
        <x:v>18.73012326656394</x:v>
      </x:c>
      <x:c r="V35" s="7"/>
      <x:c r="W35" s="7"/>
    </x:row>
    <x:row r="36" ht="23" customHeight="1">
      <x:c r="A36" s="1" t="n">
        <x:v>30</x:v>
      </x:c>
      <x:c r="B36" s="17" t="n">
        <x:f>'Допущения'!C47*'Допущения'!D53</x:f>
        <x:v>0.7118644067796609</x:v>
      </x:c>
      <x:c r="C36" s="9" t="n">
        <x:f>'Допущения'!C31*'Допущения'!$B$8*'Допущения'!D31*$B36*(1+'Допущения'!$B$13)^2</x:f>
        <x:v>1512050.062576271</x:v>
      </x:c>
      <x:c r="D36" s="9" t="n">
        <x:f>'Допущения'!C32*'Допущения'!$B$8*'Допущения'!D32*$B36*(1+'Допущения'!$B$13)^2</x:f>
        <x:v>72002.38393220337</x:v>
      </x:c>
      <x:c r="E36" s="9" t="n">
        <x:f>'Допущения'!C33*'Допущения'!$B$8*'Допущения'!D33*$B36*(1+'Допущения'!$B$13)^2</x:f>
        <x:v>272169.0112637287</x:v>
      </x:c>
      <x:c r="F36" s="9" t="n">
        <x:f>'Допущения'!C34*'Допущения'!$B$8*'Допущения'!D34*$B36*(1+'Допущения'!$B$13)^2</x:f>
        <x:v>324010.7276949152</x:v>
      </x:c>
      <x:c r="G36" s="9" t="n">
        <x:f>'Допущения'!C35*'Допущения'!$B$8*'Допущения'!D35*$B36*(1+'Допущения'!$B$13)^2</x:f>
        <x:v>540017.8794915254</x:v>
      </x:c>
      <x:c r="H36" s="9" t="n">
        <x:f>'Допущения'!C36*'Допущения'!$B$8*'Допущения'!D36*$B36*(1+'Допущения'!$B$13)^2</x:f>
        <x:v>54001.78794915253</x:v>
      </x:c>
      <x:c r="I36" s="9" t="n">
        <x:f>'Допущения'!C37*'Допущения'!$B$8*'Допущения'!D37*$B36*(1+'Допущения'!$B$13)^2</x:f>
        <x:v>0</x:v>
      </x:c>
      <x:c r="J36" s="7" t="n">
        <x:f>SUM(C36:I36)</x:f>
        <x:v>2774251.852907796</x:v>
      </x:c>
      <x:c r="K36" s="9" t="n">
        <x:f>J36/(1+'Допущения'!$B$9)</x:f>
        <x:v>2642144.6218169485</x:v>
      </x:c>
      <x:c r="L36" s="9" t="n">
        <x:f>C36/(1+'Допущения'!$B$9)*'Допущения'!E31+'Допущения'!C31*'Допущения'!$B$8*$B36*'Допущения'!F31*(1+'Допущения'!$B$14)^2+D36/(1+'Допущения'!$B$9)*'Допущения'!E32+'Допущения'!C32*'Допущения'!$B$8*$B36*'Допущения'!F32*(1+'Допущения'!$B$14)^2+E36/(1+'Допущения'!$B$9)*'Допущения'!E33+'Допущения'!C33*'Допущения'!$B$8*$B36*'Допущения'!F33*(1+'Допущения'!$B$14)^2+F36/(1+'Допущения'!$B$9)*'Допущения'!E34+'Допущения'!C34*'Допущения'!$B$8*$B36*'Допущения'!F34*(1+'Допущения'!$B$14)^2+G36/(1+'Допущения'!$B$9)*'Допущения'!E35+'Допущения'!C35*'Допущения'!$B$8*$B36*'Допущения'!F35*(1+'Допущения'!$B$14)^2+H36/(1+'Допущения'!$B$9)*'Допущения'!E36+'Допущения'!C36*'Допущения'!$B$8*$B36*'Допущения'!F36*(1+'Допущения'!$B$14)^2+I36/(1+'Допущения'!$B$9)*'Допущения'!E37+'Допущения'!C37*'Допущения'!$B$8*$B36*'Допущения'!F37*(1+'Допущения'!$B$14)^2</x:f>
        <x:v>356651.8084108474</x:v>
      </x:c>
      <x:c r="M36" s="9" t="n">
        <x:f>J36*'Допущения'!$B$11</x:f>
        <x:v>55485.03705815592</x:v>
      </x:c>
      <x:c r="N36" s="9" t="n">
        <x:f>'Инвестиции'!$C$35*(1+'Допущения'!$B$14)^2</x:f>
        <x:v>1392586.5347625</x:v>
      </x:c>
      <x:c r="O36" s="9" t="n">
        <x:f>K36*'Допущения'!$B$10</x:f>
        <x:v>158528.6773090169</x:v>
      </x:c>
      <x:c r="P36" s="9" t="n">
        <x:f>K36*'Допущения'!$B$12</x:f>
        <x:v>52842.892436338974</x:v>
      </x:c>
      <x:c r="Q36" s="7" t="n">
        <x:f>K36-L36-M36-N36</x:f>
        <x:v>837421.2415854449</x:v>
      </x:c>
      <x:c r="R36" s="7" t="n">
        <x:f>Q36-O36-P36</x:f>
        <x:v>626049.671840089</x:v>
      </x:c>
      <x:c r="S36" s="7" t="n">
        <x:f>S35+R36</x:f>
        <x:v>20083484.932707395</x:v>
      </x:c>
      <x:c r="T36" s="7" t="n">
        <x:f>IF(S36&gt;=0,A36,999)</x:f>
        <x:v>30</x:v>
      </x:c>
      <x:c r="U36" s="22" t="n">
        <x:f>'Допущения'!C31*'Допущения'!$B$8*B36*'Допущения'!$B$17/'Допущения'!$B$18/'Допущения'!$B$16</x:f>
        <x:v>15.424807395993833</x:v>
      </x:c>
      <x:c r="V36" s="7"/>
      <x:c r="W36" s="7"/>
    </x:row>
    <x:row r="37" ht="23" customHeight="1">
      <x:c r="A37" s="1" t="n">
        <x:v>31</x:v>
      </x:c>
      <x:c r="B37" s="17" t="n">
        <x:f>'Допущения'!C48*'Допущения'!D53</x:f>
        <x:v>0.7627118644067796</x:v>
      </x:c>
      <x:c r="C37" s="9" t="n">
        <x:f>'Допущения'!C31*'Допущения'!$B$8*'Допущения'!D31*$B37*(1+'Допущения'!$B$13)^2</x:f>
        <x:v>1620053.6384745757</x:v>
      </x:c>
      <x:c r="D37" s="9" t="n">
        <x:f>'Допущения'!C32*'Допущения'!$B$8*'Допущения'!D32*$B37*(1+'Допущения'!$B$13)^2</x:f>
        <x:v>77145.41135593218</x:v>
      </x:c>
      <x:c r="E37" s="9" t="n">
        <x:f>'Допущения'!C33*'Допущения'!$B$8*'Допущения'!D33*$B37*(1+'Допущения'!$B$13)^2</x:f>
        <x:v>291609.6549254237</x:v>
      </x:c>
      <x:c r="F37" s="9" t="n">
        <x:f>'Допущения'!C34*'Допущения'!$B$8*'Допущения'!D34*$B37*(1+'Допущения'!$B$13)^2</x:f>
        <x:v>347154.35110169486</x:v>
      </x:c>
      <x:c r="G37" s="9" t="n">
        <x:f>'Допущения'!C35*'Допущения'!$B$8*'Допущения'!D35*$B37*(1+'Допущения'!$B$13)^2</x:f>
        <x:v>578590.5851694915</x:v>
      </x:c>
      <x:c r="H37" s="9" t="n">
        <x:f>'Допущения'!C36*'Допущения'!$B$8*'Допущения'!D36*$B37*(1+'Допущения'!$B$13)^2</x:f>
        <x:v>57859.058516949146</x:v>
      </x:c>
      <x:c r="I37" s="9" t="n">
        <x:f>'Допущения'!C37*'Допущения'!$B$8*'Допущения'!D37*$B37*(1+'Допущения'!$B$13)^2</x:f>
        <x:v>0</x:v>
      </x:c>
      <x:c r="J37" s="7" t="n">
        <x:f>SUM(C37:I37)</x:f>
        <x:v>2972412.699544067</x:v>
      </x:c>
      <x:c r="K37" s="9" t="n">
        <x:f>J37/(1+'Допущения'!$B$9)</x:f>
        <x:v>2830869.237661016</x:v>
      </x:c>
      <x:c r="L37" s="9" t="n">
        <x:f>C37/(1+'Допущения'!$B$9)*'Допущения'!E31+'Допущения'!C31*'Допущения'!$B$8*$B37*'Допущения'!F31*(1+'Допущения'!$B$14)^2+D37/(1+'Допущения'!$B$9)*'Допущения'!E32+'Допущения'!C32*'Допущения'!$B$8*$B37*'Допущения'!F32*(1+'Допущения'!$B$14)^2+E37/(1+'Допущения'!$B$9)*'Допущения'!E33+'Допущения'!C33*'Допущения'!$B$8*$B37*'Допущения'!F33*(1+'Допущения'!$B$14)^2+F37/(1+'Допущения'!$B$9)*'Допущения'!E34+'Допущения'!C34*'Допущения'!$B$8*$B37*'Допущения'!F34*(1+'Допущения'!$B$14)^2+G37/(1+'Допущения'!$B$9)*'Допущения'!E35+'Допущения'!C35*'Допущения'!$B$8*$B37*'Допущения'!F35*(1+'Допущения'!$B$14)^2+H37/(1+'Допущения'!$B$9)*'Допущения'!E36+'Допущения'!C36*'Допущения'!$B$8*$B37*'Допущения'!F36*(1+'Допущения'!$B$14)^2+I37/(1+'Допущения'!$B$9)*'Допущения'!E37+'Допущения'!C37*'Допущения'!$B$8*$B37*'Допущения'!F37*(1+'Допущения'!$B$14)^2</x:f>
        <x:v>382126.9375830508</x:v>
      </x:c>
      <x:c r="M37" s="9" t="n">
        <x:f>J37*'Допущения'!$B$11</x:f>
        <x:v>59448.25399088134</x:v>
      </x:c>
      <x:c r="N37" s="9" t="n">
        <x:f>'Инвестиции'!$C$35*(1+'Допущения'!$B$14)^2</x:f>
        <x:v>1392586.5347625</x:v>
      </x:c>
      <x:c r="O37" s="9" t="n">
        <x:f>K37*'Допущения'!$B$10</x:f>
        <x:v>169852.15425966095</x:v>
      </x:c>
      <x:c r="P37" s="9" t="n">
        <x:f>K37*'Допущения'!$B$12</x:f>
        <x:v>56617.38475322032</x:v>
      </x:c>
      <x:c r="Q37" s="7" t="n">
        <x:f>K37-L37-M37-N37</x:f>
        <x:v>996707.5113245843</x:v>
      </x:c>
      <x:c r="R37" s="7" t="n">
        <x:f>Q37-O37-P37</x:f>
        <x:v>770237.9723117029</x:v>
      </x:c>
      <x:c r="S37" s="7" t="n">
        <x:f>S36+R37</x:f>
        <x:v>20853722.905019097</x:v>
      </x:c>
      <x:c r="T37" s="7" t="n">
        <x:f>IF(S37&gt;=0,A37,999)</x:f>
        <x:v>31</x:v>
      </x:c>
      <x:c r="U37" s="22" t="n">
        <x:f>'Допущения'!C31*'Допущения'!$B$8*B37*'Допущения'!$B$17/'Допущения'!$B$18/'Допущения'!$B$16</x:f>
        <x:v>16.526579352850536</x:v>
      </x:c>
      <x:c r="V37" s="7"/>
      <x:c r="W37" s="7"/>
    </x:row>
    <x:row r="38" ht="23" customHeight="1">
      <x:c r="A38" s="1" t="n">
        <x:v>32</x:v>
      </x:c>
      <x:c r="B38" s="17" t="n">
        <x:f>'Допущения'!C49*'Допущения'!D53</x:f>
        <x:v>0.8135593220338982</x:v>
      </x:c>
      <x:c r="C38" s="9" t="n">
        <x:f>'Допущения'!C31*'Допущения'!$B$8*'Допущения'!D31*$B38*(1+'Допущения'!$B$13)^2</x:f>
        <x:v>1728057.2143728808</x:v>
      </x:c>
      <x:c r="D38" s="9" t="n">
        <x:f>'Допущения'!C32*'Допущения'!$B$8*'Допущения'!D32*$B38*(1+'Допущения'!$B$13)^2</x:f>
        <x:v>82288.43877966101</x:v>
      </x:c>
      <x:c r="E38" s="9" t="n">
        <x:f>'Допущения'!C33*'Допущения'!$B$8*'Допущения'!D33*$B38*(1+'Допущения'!$B$13)^2</x:f>
        <x:v>311050.29858711857</x:v>
      </x:c>
      <x:c r="F38" s="9" t="n">
        <x:f>'Допущения'!C34*'Допущения'!$B$8*'Допущения'!D34*$B38*(1+'Допущения'!$B$13)^2</x:f>
        <x:v>370297.9745084745</x:v>
      </x:c>
      <x:c r="G38" s="9" t="n">
        <x:f>'Допущения'!C35*'Допущения'!$B$8*'Допущения'!D35*$B38*(1+'Допущения'!$B$13)^2</x:f>
        <x:v>617163.2908474575</x:v>
      </x:c>
      <x:c r="H38" s="9" t="n">
        <x:f>'Допущения'!C36*'Допущения'!$B$8*'Допущения'!D36*$B38*(1+'Допущения'!$B$13)^2</x:f>
        <x:v>61716.329084745754</x:v>
      </x:c>
      <x:c r="I38" s="9" t="n">
        <x:f>'Допущения'!C37*'Допущения'!$B$8*'Допущения'!D37*$B38*(1+'Допущения'!$B$13)^2</x:f>
        <x:v>0</x:v>
      </x:c>
      <x:c r="J38" s="7" t="n">
        <x:f>SUM(C38:I38)</x:f>
        <x:v>3170573.546180338</x:v>
      </x:c>
      <x:c r="K38" s="9" t="n">
        <x:f>J38/(1+'Допущения'!$B$9)</x:f>
        <x:v>3019593.853505084</x:v>
      </x:c>
      <x:c r="L38" s="9" t="n">
        <x:f>C38/(1+'Допущения'!$B$9)*'Допущения'!E31+'Допущения'!C31*'Допущения'!$B$8*$B38*'Допущения'!F31*(1+'Допущения'!$B$14)^2+D38/(1+'Допущения'!$B$9)*'Допущения'!E32+'Допущения'!C32*'Допущения'!$B$8*$B38*'Допущения'!F32*(1+'Допущения'!$B$14)^2+E38/(1+'Допущения'!$B$9)*'Допущения'!E33+'Допущения'!C33*'Допущения'!$B$8*$B38*'Допущения'!F33*(1+'Допущения'!$B$14)^2+F38/(1+'Допущения'!$B$9)*'Допущения'!E34+'Допущения'!C34*'Допущения'!$B$8*$B38*'Допущения'!F34*(1+'Допущения'!$B$14)^2+G38/(1+'Допущения'!$B$9)*'Допущения'!E35+'Допущения'!C35*'Допущения'!$B$8*$B38*'Допущения'!F35*(1+'Допущения'!$B$14)^2+H38/(1+'Допущения'!$B$9)*'Допущения'!E36+'Допущения'!C36*'Допущения'!$B$8*$B38*'Допущения'!F36*(1+'Допущения'!$B$14)^2+I38/(1+'Допущения'!$B$9)*'Допущения'!E37+'Допущения'!C37*'Допущения'!$B$8*$B38*'Допущения'!F37*(1+'Допущения'!$B$14)^2</x:f>
        <x:v>407602.0667552541</x:v>
      </x:c>
      <x:c r="M38" s="9" t="n">
        <x:f>J38*'Допущения'!$B$11</x:f>
        <x:v>63411.470923606765</x:v>
      </x:c>
      <x:c r="N38" s="9" t="n">
        <x:f>'Инвестиции'!$C$35*(1+'Допущения'!$B$14)^2</x:f>
        <x:v>1392586.5347625</x:v>
      </x:c>
      <x:c r="O38" s="9" t="n">
        <x:f>K38*'Допущения'!$B$10</x:f>
        <x:v>181175.63121030503</x:v>
      </x:c>
      <x:c r="P38" s="9" t="n">
        <x:f>K38*'Допущения'!$B$12</x:f>
        <x:v>60391.87707010168</x:v>
      </x:c>
      <x:c r="Q38" s="7" t="n">
        <x:f>K38-L38-M38-N38</x:f>
        <x:v>1155993.7810637227</x:v>
      </x:c>
      <x:c r="R38" s="7" t="n">
        <x:f>Q38-O38-P38</x:f>
        <x:v>914426.272783316</x:v>
      </x:c>
      <x:c r="S38" s="7" t="n">
        <x:f>S37+R38</x:f>
        <x:v>21768149.177802414</x:v>
      </x:c>
      <x:c r="T38" s="7" t="n">
        <x:f>IF(S38&gt;=0,A38,999)</x:f>
        <x:v>32</x:v>
      </x:c>
      <x:c r="U38" s="22" t="n">
        <x:f>'Допущения'!C31*'Допущения'!$B$8*B38*'Допущения'!$B$17/'Допущения'!$B$18/'Допущения'!$B$16</x:f>
        <x:v>17.62835130970724</x:v>
      </x:c>
      <x:c r="V38" s="7"/>
      <x:c r="W38" s="7"/>
    </x:row>
    <x:row r="39" ht="23" customHeight="1">
      <x:c r="A39" s="1" t="n">
        <x:v>33</x:v>
      </x:c>
      <x:c r="B39" s="17" t="n">
        <x:f>'Допущения'!C50*'Допущения'!D53</x:f>
        <x:v>1.0677966101694916</x:v>
      </x:c>
      <x:c r="C39" s="9" t="n">
        <x:f>'Допущения'!C31*'Допущения'!$B$8*'Допущения'!D31*$B39*(1+'Допущения'!$B$13)^2</x:f>
        <x:v>2268075.0938644065</x:v>
      </x:c>
      <x:c r="D39" s="9" t="n">
        <x:f>'Допущения'!C32*'Допущения'!$B$8*'Допущения'!D32*$B39*(1+'Допущения'!$B$13)^2</x:f>
        <x:v>108003.57589830509</x:v>
      </x:c>
      <x:c r="E39" s="9" t="n">
        <x:f>'Допущения'!C33*'Допущения'!$B$8*'Допущения'!D33*$B39*(1+'Допущения'!$B$13)^2</x:f>
        <x:v>408253.5168955932</x:v>
      </x:c>
      <x:c r="F39" s="9" t="n">
        <x:f>'Допущения'!C34*'Допущения'!$B$8*'Допущения'!D34*$B39*(1+'Допущения'!$B$13)^2</x:f>
        <x:v>486016.09154237283</x:v>
      </x:c>
      <x:c r="G39" s="9" t="n">
        <x:f>'Допущения'!C35*'Допущения'!$B$8*'Допущения'!D35*$B39*(1+'Допущения'!$B$13)^2</x:f>
        <x:v>810026.8192372882</x:v>
      </x:c>
      <x:c r="H39" s="9" t="n">
        <x:f>'Допущения'!C36*'Допущения'!$B$8*'Допущения'!D36*$B39*(1+'Допущения'!$B$13)^2</x:f>
        <x:v>81002.68192372881</x:v>
      </x:c>
      <x:c r="I39" s="9" t="n">
        <x:f>'Допущения'!C37*'Допущения'!$B$8*'Допущения'!D37*$B39*(1+'Допущения'!$B$13)^2</x:f>
        <x:v>0</x:v>
      </x:c>
      <x:c r="J39" s="7" t="n">
        <x:f>SUM(C39:I39)</x:f>
        <x:v>4161377.7793616946</x:v>
      </x:c>
      <x:c r="K39" s="9" t="n">
        <x:f>J39/(1+'Допущения'!$B$9)</x:f>
        <x:v>3963216.932725423</x:v>
      </x:c>
      <x:c r="L39" s="9" t="n">
        <x:f>C39/(1+'Допущения'!$B$9)*'Допущения'!E31+'Допущения'!C31*'Допущения'!$B$8*$B39*'Допущения'!F31*(1+'Допущения'!$B$14)^2+D39/(1+'Допущения'!$B$9)*'Допущения'!E32+'Допущения'!C32*'Допущения'!$B$8*$B39*'Допущения'!F32*(1+'Допущения'!$B$14)^2+E39/(1+'Допущения'!$B$9)*'Допущения'!E33+'Допущения'!C33*'Допущения'!$B$8*$B39*'Допущения'!F33*(1+'Допущения'!$B$14)^2+F39/(1+'Допущения'!$B$9)*'Допущения'!E34+'Допущения'!C34*'Допущения'!$B$8*$B39*'Допущения'!F34*(1+'Допущения'!$B$14)^2+G39/(1+'Допущения'!$B$9)*'Допущения'!E35+'Допущения'!C35*'Допущения'!$B$8*$B39*'Допущения'!F35*(1+'Допущения'!$B$14)^2+H39/(1+'Допущения'!$B$9)*'Допущения'!E36+'Допущения'!C36*'Допущения'!$B$8*$B39*'Допущения'!F36*(1+'Допущения'!$B$14)^2+I39/(1+'Допущения'!$B$9)*'Допущения'!E37+'Допущения'!C37*'Допущения'!$B$8*$B39*'Допущения'!F37*(1+'Допущения'!$B$14)^2</x:f>
        <x:v>534977.7126162711</x:v>
      </x:c>
      <x:c r="M39" s="9" t="n">
        <x:f>J39*'Допущения'!$B$11</x:f>
        <x:v>83227.55558723389</x:v>
      </x:c>
      <x:c r="N39" s="9" t="n">
        <x:f>'Инвестиции'!$C$35*(1+'Допущения'!$B$14)^2</x:f>
        <x:v>1392586.5347625</x:v>
      </x:c>
      <x:c r="O39" s="9" t="n">
        <x:f>K39*'Допущения'!$B$10</x:f>
        <x:v>237793.01596352537</x:v>
      </x:c>
      <x:c r="P39" s="9" t="n">
        <x:f>K39*'Допущения'!$B$12</x:f>
        <x:v>79264.33865450846</x:v>
      </x:c>
      <x:c r="Q39" s="7" t="n">
        <x:f>K39-L39-M39-N39</x:f>
        <x:v>1952425.1297594176</x:v>
      </x:c>
      <x:c r="R39" s="7" t="n">
        <x:f>Q39-O39-P39</x:f>
        <x:v>1635367.775141384</x:v>
      </x:c>
      <x:c r="S39" s="7" t="n">
        <x:f>S38+R39</x:f>
        <x:v>23403516.9529438</x:v>
      </x:c>
      <x:c r="T39" s="7" t="n">
        <x:f>IF(S39&gt;=0,A39,999)</x:f>
        <x:v>33</x:v>
      </x:c>
      <x:c r="U39" s="22" t="n">
        <x:f>'Допущения'!C31*'Допущения'!$B$8*B39*'Допущения'!$B$17/'Допущения'!$B$18/'Допущения'!$B$16</x:f>
        <x:v>23.137211093990754</x:v>
      </x:c>
      <x:c r="V39" s="7"/>
      <x:c r="W39" s="7"/>
    </x:row>
    <x:row r="40" ht="23" customHeight="1">
      <x:c r="A40" s="1" t="n">
        <x:v>34</x:v>
      </x:c>
      <x:c r="B40" s="17" t="n">
        <x:f>'Допущения'!C51*'Допущения'!D53</x:f>
        <x:v>1.1694915254237286</x:v>
      </x:c>
      <x:c r="C40" s="9" t="n">
        <x:f>'Допущения'!C31*'Допущения'!$B$8*'Допущения'!D31*$B40*(1+'Допущения'!$B$13)^2</x:f>
        <x:v>2484082.245661016</x:v>
      </x:c>
      <x:c r="D40" s="9" t="n">
        <x:f>'Допущения'!C32*'Допущения'!$B$8*'Допущения'!D32*$B40*(1+'Допущения'!$B$13)^2</x:f>
        <x:v>118289.63074576268</x:v>
      </x:c>
      <x:c r="E40" s="9" t="n">
        <x:f>'Допущения'!C33*'Допущения'!$B$8*'Допущения'!D33*$B40*(1+'Допущения'!$B$13)^2</x:f>
        <x:v>447134.80421898287</x:v>
      </x:c>
      <x:c r="F40" s="9" t="n">
        <x:f>'Допущения'!C34*'Допущения'!$B$8*'Допущения'!D34*$B40*(1+'Допущения'!$B$13)^2</x:f>
        <x:v>532303.338355932</x:v>
      </x:c>
      <x:c r="G40" s="9" t="n">
        <x:f>'Допущения'!C35*'Допущения'!$B$8*'Допущения'!D35*$B40*(1+'Допущения'!$B$13)^2</x:f>
        <x:v>887172.2305932201</x:v>
      </x:c>
      <x:c r="H40" s="9" t="n">
        <x:f>'Допущения'!C36*'Допущения'!$B$8*'Допущения'!D36*$B40*(1+'Допущения'!$B$13)^2</x:f>
        <x:v>88717.22305932202</x:v>
      </x:c>
      <x:c r="I40" s="9" t="n">
        <x:f>'Допущения'!C37*'Допущения'!$B$8*'Допущения'!D37*$B40*(1+'Допущения'!$B$13)^2</x:f>
        <x:v>0</x:v>
      </x:c>
      <x:c r="J40" s="7" t="n">
        <x:f>SUM(C40:I40)</x:f>
        <x:v>4557699.472634235</x:v>
      </x:c>
      <x:c r="K40" s="9" t="n">
        <x:f>J40/(1+'Допущения'!$B$9)</x:f>
        <x:v>4340666.164413557</x:v>
      </x:c>
      <x:c r="L40" s="9" t="n">
        <x:f>C40/(1+'Допущения'!$B$9)*'Допущения'!E31+'Допущения'!C31*'Допущения'!$B$8*$B40*'Допущения'!F31*(1+'Допущения'!$B$14)^2+D40/(1+'Допущения'!$B$9)*'Допущения'!E32+'Допущения'!C32*'Допущения'!$B$8*$B40*'Допущения'!F32*(1+'Допущения'!$B$14)^2+E40/(1+'Допущения'!$B$9)*'Допущения'!E33+'Допущения'!C33*'Допущения'!$B$8*$B40*'Допущения'!F33*(1+'Допущения'!$B$14)^2+F40/(1+'Допущения'!$B$9)*'Допущения'!E34+'Допущения'!C34*'Допущения'!$B$8*$B40*'Допущения'!F34*(1+'Допущения'!$B$14)^2+G40/(1+'Допущения'!$B$9)*'Допущения'!E35+'Допущения'!C35*'Допущения'!$B$8*$B40*'Допущения'!F35*(1+'Допущения'!$B$14)^2+H40/(1+'Допущения'!$B$9)*'Допущения'!E36+'Допущения'!C36*'Допущения'!$B$8*$B40*'Допущения'!F36*(1+'Допущения'!$B$14)^2+I40/(1+'Допущения'!$B$9)*'Допущения'!E37+'Допущения'!C37*'Допущения'!$B$8*$B40*'Допущения'!F37*(1+'Допущения'!$B$14)^2</x:f>
        <x:v>585927.9709606777</x:v>
      </x:c>
      <x:c r="M40" s="9" t="n">
        <x:f>J40*'Допущения'!$B$11</x:f>
        <x:v>91153.9894526847</x:v>
      </x:c>
      <x:c r="N40" s="9" t="n">
        <x:f>'Инвестиции'!$C$35*(1+'Допущения'!$B$14)^2</x:f>
        <x:v>1392586.5347625</x:v>
      </x:c>
      <x:c r="O40" s="9" t="n">
        <x:f>K40*'Допущения'!$B$10</x:f>
        <x:v>260439.96986481344</x:v>
      </x:c>
      <x:c r="P40" s="9" t="n">
        <x:f>K40*'Допущения'!$B$12</x:f>
        <x:v>86813.32328827115</x:v>
      </x:c>
      <x:c r="Q40" s="7" t="n">
        <x:f>K40-L40-M40-N40</x:f>
        <x:v>2270997.6692376947</x:v>
      </x:c>
      <x:c r="R40" s="7" t="n">
        <x:f>Q40-O40-P40</x:f>
        <x:v>1923744.3760846101</x:v>
      </x:c>
      <x:c r="S40" s="7" t="n">
        <x:f>S39+R40</x:f>
        <x:v>25327261.32902841</x:v>
      </x:c>
      <x:c r="T40" s="7" t="n">
        <x:f>IF(S40&gt;=0,A40,999)</x:f>
        <x:v>34</x:v>
      </x:c>
      <x:c r="U40" s="22" t="n">
        <x:f>'Допущения'!C31*'Допущения'!$B$8*B40*'Допущения'!$B$17/'Допущения'!$B$18/'Допущения'!$B$16</x:f>
        <x:v>25.340755007704157</x:v>
      </x:c>
      <x:c r="V40" s="7"/>
      <x:c r="W40" s="7"/>
    </x:row>
    <x:row r="41" ht="23" customHeight="1">
      <x:c r="A41" s="1" t="n">
        <x:v>35</x:v>
      </x:c>
      <x:c r="B41" s="17" t="n">
        <x:f>'Допущения'!C52*'Допущения'!D53</x:f>
        <x:v>1.2203389830508473</x:v>
      </x:c>
      <x:c r="C41" s="9" t="n">
        <x:f>'Допущения'!C31*'Допущения'!$B$8*'Допущения'!D31*$B41*(1+'Допущения'!$B$13)^2</x:f>
        <x:v>2592085.8215593216</x:v>
      </x:c>
      <x:c r="D41" s="9" t="n">
        <x:f>'Допущения'!C32*'Допущения'!$B$8*'Допущения'!D32*$B41*(1+'Допущения'!$B$13)^2</x:f>
        <x:v>123432.65816949151</x:v>
      </x:c>
      <x:c r="E41" s="9" t="n">
        <x:f>'Допущения'!C33*'Допущения'!$B$8*'Допущения'!D33*$B41*(1+'Допущения'!$B$13)^2</x:f>
        <x:v>466575.4478806778</x:v>
      </x:c>
      <x:c r="F41" s="9" t="n">
        <x:f>'Допущения'!C34*'Допущения'!$B$8*'Допущения'!D34*$B41*(1+'Допущения'!$B$13)^2</x:f>
        <x:v>555446.9617627118</x:v>
      </x:c>
      <x:c r="G41" s="9" t="n">
        <x:f>'Допущения'!C35*'Допущения'!$B$8*'Допущения'!D35*$B41*(1+'Допущения'!$B$13)^2</x:f>
        <x:v>925744.9362711863</x:v>
      </x:c>
      <x:c r="H41" s="9" t="n">
        <x:f>'Допущения'!C36*'Допущения'!$B$8*'Допущения'!D36*$B41*(1+'Допущения'!$B$13)^2</x:f>
        <x:v>92574.49362711863</x:v>
      </x:c>
      <x:c r="I41" s="9" t="n">
        <x:f>'Допущения'!C37*'Допущения'!$B$8*'Допущения'!D37*$B41*(1+'Допущения'!$B$13)^2</x:f>
        <x:v>0</x:v>
      </x:c>
      <x:c r="J41" s="7" t="n">
        <x:f>SUM(C41:I41)</x:f>
        <x:v>4755860.319270508</x:v>
      </x:c>
      <x:c r="K41" s="9" t="n">
        <x:f>J41/(1+'Допущения'!$B$9)</x:f>
        <x:v>4529390.780257626</x:v>
      </x:c>
      <x:c r="L41" s="9" t="n">
        <x:f>C41/(1+'Допущения'!$B$9)*'Допущения'!E31+'Допущения'!C31*'Допущения'!$B$8*$B41*'Допущения'!F31*(1+'Допущения'!$B$14)^2+D41/(1+'Допущения'!$B$9)*'Допущения'!E32+'Допущения'!C32*'Допущения'!$B$8*$B41*'Допущения'!F32*(1+'Допущения'!$B$14)^2+E41/(1+'Допущения'!$B$9)*'Допущения'!E33+'Допущения'!C33*'Допущения'!$B$8*$B41*'Допущения'!F33*(1+'Допущения'!$B$14)^2+F41/(1+'Допущения'!$B$9)*'Допущения'!E34+'Допущения'!C34*'Допущения'!$B$8*$B41*'Допущения'!F34*(1+'Допущения'!$B$14)^2+G41/(1+'Допущения'!$B$9)*'Допущения'!E35+'Допущения'!C35*'Допущения'!$B$8*$B41*'Допущения'!F35*(1+'Допущения'!$B$14)^2+H41/(1+'Допущения'!$B$9)*'Допущения'!E36+'Допущения'!C36*'Допущения'!$B$8*$B41*'Допущения'!F36*(1+'Допущения'!$B$14)^2+I41/(1+'Допущения'!$B$9)*'Допущения'!E37+'Допущения'!C37*'Допущения'!$B$8*$B41*'Допущения'!F37*(1+'Допущения'!$B$14)^2</x:f>
        <x:v>611403.1001328812</x:v>
      </x:c>
      <x:c r="M41" s="9" t="n">
        <x:f>J41*'Допущения'!$B$11</x:f>
        <x:v>95117.20638541017</x:v>
      </x:c>
      <x:c r="N41" s="9" t="n">
        <x:f>'Инвестиции'!$C$35*(1+'Допущения'!$B$14)^2</x:f>
        <x:v>1392586.5347625</x:v>
      </x:c>
      <x:c r="O41" s="9" t="n">
        <x:f>K41*'Допущения'!$B$10</x:f>
        <x:v>271763.4468154576</x:v>
      </x:c>
      <x:c r="P41" s="9" t="n">
        <x:f>K41*'Допущения'!$B$12</x:f>
        <x:v>90587.81560515253</x:v>
      </x:c>
      <x:c r="Q41" s="7" t="n">
        <x:f>K41-L41-M41-N41</x:f>
        <x:v>2430283.9389768345</x:v>
      </x:c>
      <x:c r="R41" s="7" t="n">
        <x:f>Q41-O41-P41</x:f>
        <x:v>2067932.6765562242</x:v>
      </x:c>
      <x:c r="S41" s="7" t="n">
        <x:f>S40+R41</x:f>
        <x:v>27395194.005584635</x:v>
      </x:c>
      <x:c r="T41" s="7" t="n">
        <x:f>IF(S41&gt;=0,A41,999)</x:f>
        <x:v>35</x:v>
      </x:c>
      <x:c r="U41" s="22" t="n">
        <x:f>'Допущения'!C31*'Допущения'!$B$8*B41*'Допущения'!$B$17/'Допущения'!$B$18/'Допущения'!$B$16</x:f>
        <x:v>26.442526964560855</x:v>
      </x:c>
      <x:c r="V41" s="7"/>
      <x:c r="W41" s="7"/>
    </x:row>
    <x:row r="42" ht="23" customHeight="1">
      <x:c r="A42" s="1" t="n">
        <x:v>36</x:v>
      </x:c>
      <x:c r="B42" s="17" t="n">
        <x:f>'Допущения'!C53*'Допущения'!D53</x:f>
        <x:v>1.271186440677966</x:v>
      </x:c>
      <x:c r="C42" s="9" t="n">
        <x:f>'Допущения'!C31*'Допущения'!$B$8*'Допущения'!D31*$B42*(1+'Допущения'!$B$13)^2</x:f>
        <x:v>2700089.3974576266</x:v>
      </x:c>
      <x:c r="D42" s="9" t="n">
        <x:f>'Допущения'!C32*'Допущения'!$B$8*'Допущения'!D32*$B42*(1+'Допущения'!$B$13)^2</x:f>
        <x:v>128575.68559322032</x:v>
      </x:c>
      <x:c r="E42" s="9" t="n">
        <x:f>'Допущения'!C33*'Допущения'!$B$8*'Допущения'!D33*$B42*(1+'Допущения'!$B$13)^2</x:f>
        <x:v>486016.0915423728</x:v>
      </x:c>
      <x:c r="F42" s="9" t="n">
        <x:f>'Допущения'!C34*'Допущения'!$B$8*'Допущения'!D34*$B42*(1+'Допущения'!$B$13)^2</x:f>
        <x:v>578590.5851694915</x:v>
      </x:c>
      <x:c r="G42" s="9" t="n">
        <x:f>'Допущения'!C35*'Допущения'!$B$8*'Допущения'!D35*$B42*(1+'Допущения'!$B$13)^2</x:f>
        <x:v>964317.6419491525</x:v>
      </x:c>
      <x:c r="H42" s="9" t="n">
        <x:f>'Допущения'!C36*'Допущения'!$B$8*'Допущения'!D36*$B42*(1+'Допущения'!$B$13)^2</x:f>
        <x:v>96431.76419491525</x:v>
      </x:c>
      <x:c r="I42" s="9" t="n">
        <x:f>'Допущения'!C37*'Допущения'!$B$8*'Допущения'!D37*$B42*(1+'Допущения'!$B$13)^2</x:f>
        <x:v>0</x:v>
      </x:c>
      <x:c r="J42" s="7" t="n">
        <x:f>SUM(C42:I42)</x:f>
        <x:v>4954021.165906779</x:v>
      </x:c>
      <x:c r="K42" s="9" t="n">
        <x:f>J42/(1+'Допущения'!$B$9)</x:f>
        <x:v>4718115.396101694</x:v>
      </x:c>
      <x:c r="L42" s="9" t="n">
        <x:f>C42/(1+'Допущения'!$B$9)*'Допущения'!E31+'Допущения'!C31*'Допущения'!$B$8*$B42*'Допущения'!F31*(1+'Допущения'!$B$14)^2+D42/(1+'Допущения'!$B$9)*'Допущения'!E32+'Допущения'!C32*'Допущения'!$B$8*$B42*'Допущения'!F32*(1+'Допущения'!$B$14)^2+E42/(1+'Допущения'!$B$9)*'Допущения'!E33+'Допущения'!C33*'Допущения'!$B$8*$B42*'Допущения'!F33*(1+'Допущения'!$B$14)^2+F42/(1+'Допущения'!$B$9)*'Допущения'!E34+'Допущения'!C34*'Допущения'!$B$8*$B42*'Допущения'!F34*(1+'Допущения'!$B$14)^2+G42/(1+'Допущения'!$B$9)*'Допущения'!E35+'Допущения'!C35*'Допущения'!$B$8*$B42*'Допущения'!F35*(1+'Допущения'!$B$14)^2+H42/(1+'Допущения'!$B$9)*'Допущения'!E36+'Допущения'!C36*'Допущения'!$B$8*$B42*'Допущения'!F36*(1+'Допущения'!$B$14)^2+I42/(1+'Допущения'!$B$9)*'Допущения'!E37+'Допущения'!C37*'Допущения'!$B$8*$B42*'Допущения'!F37*(1+'Допущения'!$B$14)^2</x:f>
        <x:v>636878.2293050847</x:v>
      </x:c>
      <x:c r="M42" s="9" t="n">
        <x:f>J42*'Допущения'!$B$11</x:f>
        <x:v>99080.42331813557</x:v>
      </x:c>
      <x:c r="N42" s="9" t="n">
        <x:f>'Инвестиции'!$C$35*(1+'Допущения'!$B$14)^2</x:f>
        <x:v>1392586.5347625</x:v>
      </x:c>
      <x:c r="O42" s="9" t="n">
        <x:f>K42*'Допущения'!$B$10</x:f>
        <x:v>283086.9237661016</x:v>
      </x:c>
      <x:c r="P42" s="9" t="n">
        <x:f>K42*'Допущения'!$B$12</x:f>
        <x:v>94362.30792203387</x:v>
      </x:c>
      <x:c r="Q42" s="7" t="n">
        <x:f>K42-L42-M42-N42</x:f>
        <x:v>2589570.2087159734</x:v>
      </x:c>
      <x:c r="R42" s="7" t="n">
        <x:f>Q42-O42-P42</x:f>
        <x:v>2212120.9770278377</x:v>
      </x:c>
      <x:c r="S42" s="7" t="n">
        <x:f>S41+R42</x:f>
        <x:v>29607314.982612472</x:v>
      </x:c>
      <x:c r="T42" s="7" t="n">
        <x:f>IF(S42&gt;=0,A42,999)</x:f>
        <x:v>36</x:v>
      </x:c>
      <x:c r="U42" s="22" t="n">
        <x:f>'Допущения'!C31*'Допущения'!$B$8*B42*'Допущения'!$B$17/'Допущения'!$B$18/'Допущения'!$B$16</x:f>
        <x:v>27.544298921417564</x:v>
      </x:c>
      <x:c r="V42" s="7"/>
      <x:c r="W42" s="7"/>
    </x:row>
    <x:row r="43" ht="23" customHeight="1">
      <x:c r="A43" s="1" t="n">
        <x:v>37</x:v>
      </x:c>
      <x:c r="B43" s="17" t="n">
        <x:f>'Допущения'!C42*'Допущения'!D53</x:f>
        <x:v>1.1186440677966103</x:v>
      </x:c>
      <x:c r="C43" s="9" t="n">
        <x:f>'Допущения'!C31*'Допущения'!$B$8*'Допущения'!D31*$B43*(1+'Допущения'!$B$13)^3</x:f>
        <x:v>2447361.029855593</x:v>
      </x:c>
      <x:c r="D43" s="9" t="n">
        <x:f>'Допущения'!C32*'Допущения'!$B$8*'Допущения'!D32*$B43*(1+'Допущения'!$B$13)^3</x:f>
        <x:v>116541.00142169493</x:v>
      </x:c>
      <x:c r="E43" s="9" t="n">
        <x:f>'Допущения'!C33*'Допущения'!$B$8*'Допущения'!D33*$B43*(1+'Допущения'!$B$13)^3</x:f>
        <x:v>440524.9853740068</x:v>
      </x:c>
      <x:c r="F43" s="9" t="n">
        <x:f>'Допущения'!C34*'Допущения'!$B$8*'Допущения'!D34*$B43*(1+'Допущения'!$B$13)^3</x:f>
        <x:v>524434.5063976272</x:v>
      </x:c>
      <x:c r="G43" s="9" t="n">
        <x:f>'Допущения'!C35*'Допущения'!$B$8*'Допущения'!D35*$B43*(1+'Допущения'!$B$13)^3</x:f>
        <x:v>874057.510662712</x:v>
      </x:c>
      <x:c r="H43" s="9" t="n">
        <x:f>'Допущения'!C36*'Допущения'!$B$8*'Допущения'!D36*$B43*(1+'Допущения'!$B$13)^3</x:f>
        <x:v>87405.75106627119</x:v>
      </x:c>
      <x:c r="I43" s="9" t="n">
        <x:f>'Допущения'!C37*'Допущения'!$B$8*'Допущения'!D37*$B43*(1+'Допущения'!$B$13)^3</x:f>
        <x:v>0</x:v>
      </x:c>
      <x:c r="J43" s="7" t="n">
        <x:f>SUM(C43:I43)</x:f>
        <x:v>4490324.784777906</x:v>
      </x:c>
      <x:c r="K43" s="9" t="n">
        <x:f>J43/(1+'Допущения'!$B$9)</x:f>
        <x:v>4276499.795026577</x:v>
      </x:c>
      <x:c r="L43" s="9" t="n">
        <x:f>C43/(1+'Допущения'!$B$9)*'Допущения'!E31+'Допущения'!C31*'Допущения'!$B$8*$B43*'Допущения'!F31*(1+'Допущения'!$B$14)^3+D43/(1+'Допущения'!$B$9)*'Допущения'!E32+'Допущения'!C32*'Допущения'!$B$8*$B43*'Допущения'!F32*(1+'Допущения'!$B$14)^3+E43/(1+'Допущения'!$B$9)*'Допущения'!E33+'Допущения'!C33*'Допущения'!$B$8*$B43*'Допущения'!F33*(1+'Допущения'!$B$14)^3+F43/(1+'Допущения'!$B$9)*'Допущения'!E34+'Допущения'!C34*'Допущения'!$B$8*$B43*'Допущения'!F34*(1+'Допущения'!$B$14)^3+G43/(1+'Допущения'!$B$9)*'Допущения'!E35+'Допущения'!C35*'Допущения'!$B$8*$B43*'Допущения'!F35*(1+'Допущения'!$B$14)^3+H43/(1+'Допущения'!$B$9)*'Допущения'!E36+'Допущения'!C36*'Допущения'!$B$8*$B43*'Допущения'!F36*(1+'Допущения'!$B$14)^3+I43/(1+'Допущения'!$B$9)*'Допущения'!E37+'Допущения'!C37*'Допущения'!$B$8*$B43*'Допущения'!F37*(1+'Допущения'!$B$14)^3</x:f>
        <x:v>577266.4270421289</x:v>
      </x:c>
      <x:c r="M43" s="9" t="n">
        <x:f>J43*'Допущения'!$B$11</x:f>
        <x:v>89806.49569555811</x:v>
      </x:c>
      <x:c r="N43" s="9" t="n">
        <x:f>'Инвестиции'!$C$35*(1+'Допущения'!$B$14)^3</x:f>
        <x:v>1462215.8615006253</x:v>
      </x:c>
      <x:c r="O43" s="9" t="n">
        <x:f>K43*'Допущения'!$B$10</x:f>
        <x:v>256589.98770159463</x:v>
      </x:c>
      <x:c r="P43" s="9" t="n">
        <x:f>K43*'Допущения'!$B$12</x:f>
        <x:v>85529.99590053155</x:v>
      </x:c>
      <x:c r="Q43" s="7" t="n">
        <x:f>K43-L43-M43-N43</x:f>
        <x:v>2147211.0107882647</x:v>
      </x:c>
      <x:c r="R43" s="7" t="n">
        <x:f>Q43-O43-P43</x:f>
        <x:v>1805091.0271861386</x:v>
      </x:c>
      <x:c r="S43" s="7" t="n">
        <x:f>S42+R43</x:f>
        <x:v>31412406.00979861</x:v>
      </x:c>
      <x:c r="T43" s="7" t="n">
        <x:f>IF(S43&gt;=0,A43,999)</x:f>
        <x:v>37</x:v>
      </x:c>
      <x:c r="U43" s="22" t="n">
        <x:f>'Допущения'!C31*'Допущения'!$B$8*B43*'Допущения'!$B$17/'Допущения'!$B$18/'Допущения'!$B$16</x:f>
        <x:v>24.23898305084746</x:v>
      </x:c>
      <x:c r="V43" s="7"/>
      <x:c r="W43" s="7"/>
    </x:row>
    <x:row r="44" ht="23" customHeight="1">
      <x:c r="A44" s="1" t="n">
        <x:v>38</x:v>
      </x:c>
      <x:c r="B44" s="17" t="n">
        <x:f>'Допущения'!C43*'Допущения'!D53</x:f>
        <x:v>1.0677966101694916</x:v>
      </x:c>
      <x:c r="C44" s="9" t="n">
        <x:f>'Допущения'!C31*'Допущения'!$B$8*'Допущения'!D31*$B44*(1+'Допущения'!$B$13)^3</x:f>
        <x:v>2336117.3466803385</x:v>
      </x:c>
      <x:c r="D44" s="9" t="n">
        <x:f>'Допущения'!C32*'Допущения'!$B$8*'Допущения'!D32*$B44*(1+'Допущения'!$B$13)^3</x:f>
        <x:v>111243.68317525425</x:v>
      </x:c>
      <x:c r="E44" s="9" t="n">
        <x:f>'Допущения'!C33*'Допущения'!$B$8*'Допущения'!D33*$B44*(1+'Допущения'!$B$13)^3</x:f>
        <x:v>420501.122402461</x:v>
      </x:c>
      <x:c r="F44" s="9" t="n">
        <x:f>'Допущения'!C34*'Допущения'!$B$8*'Допущения'!D34*$B44*(1+'Допущения'!$B$13)^3</x:f>
        <x:v>500596.5742886441</x:v>
      </x:c>
      <x:c r="G44" s="9" t="n">
        <x:f>'Допущения'!C35*'Допущения'!$B$8*'Допущения'!D35*$B44*(1+'Допущения'!$B$13)^3</x:f>
        <x:v>834327.6238144068</x:v>
      </x:c>
      <x:c r="H44" s="9" t="n">
        <x:f>'Допущения'!C36*'Допущения'!$B$8*'Допущения'!D36*$B44*(1+'Допущения'!$B$13)^3</x:f>
        <x:v>83432.76238144068</x:v>
      </x:c>
      <x:c r="I44" s="9" t="n">
        <x:f>'Допущения'!C37*'Допущения'!$B$8*'Допущения'!D37*$B44*(1+'Допущения'!$B$13)^3</x:f>
        <x:v>0</x:v>
      </x:c>
      <x:c r="J44" s="7" t="n">
        <x:f>SUM(C44:I44)</x:f>
        <x:v>4286219.112742545</x:v>
      </x:c>
      <x:c r="K44" s="9" t="n">
        <x:f>J44/(1+'Допущения'!$B$9)</x:f>
        <x:v>4082113.440707186</x:v>
      </x:c>
      <x:c r="L44" s="9" t="n">
        <x:f>C44/(1+'Допущения'!$B$9)*'Допущения'!E31+'Допущения'!C31*'Допущения'!$B$8*$B44*'Допущения'!F31*(1+'Допущения'!$B$14)^3+D44/(1+'Допущения'!$B$9)*'Допущения'!E32+'Допущения'!C32*'Допущения'!$B$8*$B44*'Допущения'!F32*(1+'Допущения'!$B$14)^3+E44/(1+'Допущения'!$B$9)*'Допущения'!E33+'Допущения'!C33*'Допущения'!$B$8*$B44*'Допущения'!F33*(1+'Допущения'!$B$14)^3+F44/(1+'Допущения'!$B$9)*'Допущения'!E34+'Допущения'!C34*'Допущения'!$B$8*$B44*'Допущения'!F34*(1+'Допущения'!$B$14)^3+G44/(1+'Допущения'!$B$9)*'Допущения'!E35+'Допущения'!C35*'Допущения'!$B$8*$B44*'Допущения'!F35*(1+'Допущения'!$B$14)^3+H44/(1+'Допущения'!$B$9)*'Допущения'!E36+'Допущения'!C36*'Допущения'!$B$8*$B44*'Допущения'!F36*(1+'Допущения'!$B$14)^3+I44/(1+'Допущения'!$B$9)*'Допущения'!E37+'Допущения'!C37*'Допущения'!$B$8*$B44*'Допущения'!F37*(1+'Допущения'!$B$14)^3</x:f>
        <x:v>551027.0439947593</x:v>
      </x:c>
      <x:c r="M44" s="9" t="n">
        <x:f>J44*'Допущения'!$B$11</x:f>
        <x:v>85724.3822548509</x:v>
      </x:c>
      <x:c r="N44" s="9" t="n">
        <x:f>'Инвестиции'!$C$35*(1+'Допущения'!$B$14)^3</x:f>
        <x:v>1462215.8615006253</x:v>
      </x:c>
      <x:c r="O44" s="9" t="n">
        <x:f>K44*'Допущения'!$B$10</x:f>
        <x:v>244926.80644243115</x:v>
      </x:c>
      <x:c r="P44" s="9" t="n">
        <x:f>K44*'Допущения'!$B$12</x:f>
        <x:v>81642.26881414371</x:v>
      </x:c>
      <x:c r="Q44" s="7" t="n">
        <x:f>K44-L44-M44-N44</x:f>
        <x:v>1983146.1529569502</x:v>
      </x:c>
      <x:c r="R44" s="7" t="n">
        <x:f>Q44-O44-P44</x:f>
        <x:v>1656577.0777003753</x:v>
      </x:c>
      <x:c r="S44" s="7" t="n">
        <x:f>S43+R44</x:f>
        <x:v>33068983.087498985</x:v>
      </x:c>
      <x:c r="T44" s="7" t="n">
        <x:f>IF(S44&gt;=0,A44,999)</x:f>
        <x:v>38</x:v>
      </x:c>
      <x:c r="U44" s="22" t="n">
        <x:f>'Допущения'!C31*'Допущения'!$B$8*B44*'Допущения'!$B$17/'Допущения'!$B$18/'Допущения'!$B$16</x:f>
        <x:v>23.137211093990754</x:v>
      </x:c>
      <x:c r="V44" s="7"/>
      <x:c r="W44" s="7"/>
    </x:row>
    <x:row r="45" ht="23" customHeight="1">
      <x:c r="A45" s="1" t="n">
        <x:v>39</x:v>
      </x:c>
      <x:c r="B45" s="17" t="n">
        <x:f>'Допущения'!C44*'Допущения'!D53</x:f>
        <x:v>1.0169491525423728</x:v>
      </x:c>
      <x:c r="C45" s="9" t="n">
        <x:f>'Допущения'!C31*'Допущения'!$B$8*'Допущения'!D31*$B45*(1+'Допущения'!$B$13)^3</x:f>
        <x:v>2224873.6635050843</x:v>
      </x:c>
      <x:c r="D45" s="9" t="n">
        <x:f>'Допущения'!C32*'Допущения'!$B$8*'Допущения'!D32*$B45*(1+'Допущения'!$B$13)^3</x:f>
        <x:v>105946.36492881355</x:v>
      </x:c>
      <x:c r="E45" s="9" t="n">
        <x:f>'Допущения'!C33*'Допущения'!$B$8*'Допущения'!D33*$B45*(1+'Допущения'!$B$13)^3</x:f>
        <x:v>400477.2594309152</x:v>
      </x:c>
      <x:c r="F45" s="9" t="n">
        <x:f>'Допущения'!C34*'Допущения'!$B$8*'Допущения'!D34*$B45*(1+'Допущения'!$B$13)^3</x:f>
        <x:v>476758.64217966096</x:v>
      </x:c>
      <x:c r="G45" s="9" t="n">
        <x:f>'Допущения'!C35*'Допущения'!$B$8*'Допущения'!D35*$B45*(1+'Допущения'!$B$13)^3</x:f>
        <x:v>794597.7369661017</x:v>
      </x:c>
      <x:c r="H45" s="9" t="n">
        <x:f>'Допущения'!C36*'Допущения'!$B$8*'Допущения'!D36*$B45*(1+'Допущения'!$B$13)^3</x:f>
        <x:v>79459.77369661017</x:v>
      </x:c>
      <x:c r="I45" s="9" t="n">
        <x:f>'Допущения'!C37*'Допущения'!$B$8*'Допущения'!D37*$B45*(1+'Допущения'!$B$13)^3</x:f>
        <x:v>0</x:v>
      </x:c>
      <x:c r="J45" s="7" t="n">
        <x:f>SUM(C45:I45)</x:f>
        <x:v>4082113.440707186</x:v>
      </x:c>
      <x:c r="K45" s="9" t="n">
        <x:f>J45/(1+'Допущения'!$B$9)</x:f>
        <x:v>3887727.086387796</x:v>
      </x:c>
      <x:c r="L45" s="9" t="n">
        <x:f>C45/(1+'Допущения'!$B$9)*'Допущения'!E31+'Допущения'!C31*'Допущения'!$B$8*$B45*'Допущения'!F31*(1+'Допущения'!$B$14)^3+D45/(1+'Допущения'!$B$9)*'Допущения'!E32+'Допущения'!C32*'Допущения'!$B$8*$B45*'Допущения'!F32*(1+'Допущения'!$B$14)^3+E45/(1+'Допущения'!$B$9)*'Допущения'!E33+'Допущения'!C33*'Допущения'!$B$8*$B45*'Допущения'!F33*(1+'Допущения'!$B$14)^3+F45/(1+'Допущения'!$B$9)*'Допущения'!E34+'Допущения'!C34*'Допущения'!$B$8*$B45*'Допущения'!F34*(1+'Допущения'!$B$14)^3+G45/(1+'Допущения'!$B$9)*'Допущения'!E35+'Допущения'!C35*'Допущения'!$B$8*$B45*'Допущения'!F35*(1+'Допущения'!$B$14)^3+H45/(1+'Допущения'!$B$9)*'Допущения'!E36+'Допущения'!C36*'Допущения'!$B$8*$B45*'Допущения'!F36*(1+'Допущения'!$B$14)^3+I45/(1+'Допущения'!$B$9)*'Допущения'!E37+'Допущения'!C37*'Допущения'!$B$8*$B45*'Допущения'!F37*(1+'Допущения'!$B$14)^3</x:f>
        <x:v>524787.6609473897</x:v>
      </x:c>
      <x:c r="M45" s="9" t="n">
        <x:f>J45*'Допущения'!$B$11</x:f>
        <x:v>81642.26881414371</x:v>
      </x:c>
      <x:c r="N45" s="9" t="n">
        <x:f>'Инвестиции'!$C$35*(1+'Допущения'!$B$14)^3</x:f>
        <x:v>1462215.8615006253</x:v>
      </x:c>
      <x:c r="O45" s="9" t="n">
        <x:f>K45*'Допущения'!$B$10</x:f>
        <x:v>233263.62518326775</x:v>
      </x:c>
      <x:c r="P45" s="9" t="n">
        <x:f>K45*'Допущения'!$B$12</x:f>
        <x:v>77754.54172775592</x:v>
      </x:c>
      <x:c r="Q45" s="7" t="n">
        <x:f>K45-L45-M45-N45</x:f>
        <x:v>1819081.2951256374</x:v>
      </x:c>
      <x:c r="R45" s="7" t="n">
        <x:f>Q45-O45-P45</x:f>
        <x:v>1508063.1282146138</x:v>
      </x:c>
      <x:c r="S45" s="7" t="n">
        <x:f>S44+R45</x:f>
        <x:v>34577046.2157136</x:v>
      </x:c>
      <x:c r="T45" s="7" t="n">
        <x:f>IF(S45&gt;=0,A45,999)</x:f>
        <x:v>39</x:v>
      </x:c>
      <x:c r="U45" s="22" t="n">
        <x:f>'Допущения'!C31*'Допущения'!$B$8*B45*'Допущения'!$B$17/'Допущения'!$B$18/'Допущения'!$B$16</x:f>
        <x:v>22.03543913713405</x:v>
      </x:c>
      <x:c r="V45" s="7"/>
      <x:c r="W45" s="7"/>
    </x:row>
    <x:row r="46" ht="23" customHeight="1">
      <x:c r="A46" s="1" t="n">
        <x:v>40</x:v>
      </x:c>
      <x:c r="B46" s="17" t="n">
        <x:f>'Допущения'!C45*'Допущения'!D53</x:f>
        <x:v>0.9152542372881356</x:v>
      </x:c>
      <x:c r="C46" s="9" t="n">
        <x:f>'Допущения'!C31*'Допущения'!$B$8*'Допущения'!D31*$B46*(1+'Допущения'!$B$13)^3</x:f>
        <x:v>2002386.297154576</x:v>
      </x:c>
      <x:c r="D46" s="9" t="n">
        <x:f>'Допущения'!C32*'Допущения'!$B$8*'Допущения'!D32*$B46*(1+'Допущения'!$B$13)^3</x:f>
        <x:v>95351.72843593221</x:v>
      </x:c>
      <x:c r="E46" s="9" t="n">
        <x:f>'Допущения'!C33*'Допущения'!$B$8*'Допущения'!D33*$B46*(1+'Допущения'!$B$13)^3</x:f>
        <x:v>360429.5334878237</x:v>
      </x:c>
      <x:c r="F46" s="9" t="n">
        <x:f>'Допущения'!C34*'Допущения'!$B$8*'Допущения'!D34*$B46*(1+'Допущения'!$B$13)^3</x:f>
        <x:v>429082.7779616949</x:v>
      </x:c>
      <x:c r="G46" s="9" t="n">
        <x:f>'Допущения'!C35*'Допущения'!$B$8*'Допущения'!D35*$B46*(1+'Допущения'!$B$13)^3</x:f>
        <x:v>715137.9632694914</x:v>
      </x:c>
      <x:c r="H46" s="9" t="n">
        <x:f>'Допущения'!C36*'Допущения'!$B$8*'Допущения'!D36*$B46*(1+'Допущения'!$B$13)^3</x:f>
        <x:v>71513.79632694916</x:v>
      </x:c>
      <x:c r="I46" s="9" t="n">
        <x:f>'Допущения'!C37*'Допущения'!$B$8*'Допущения'!D37*$B46*(1+'Допущения'!$B$13)^3</x:f>
        <x:v>0</x:v>
      </x:c>
      <x:c r="J46" s="7" t="n">
        <x:f>SUM(C46:I46)</x:f>
        <x:v>3673902.0966364676</x:v>
      </x:c>
      <x:c r="K46" s="9" t="n">
        <x:f>J46/(1+'Допущения'!$B$9)</x:f>
        <x:v>3498954.3777490165</x:v>
      </x:c>
      <x:c r="L46" s="9" t="n">
        <x:f>C46/(1+'Допущения'!$B$9)*'Допущения'!E31+'Допущения'!C31*'Допущения'!$B$8*$B46*'Допущения'!F31*(1+'Допущения'!$B$14)^3+D46/(1+'Допущения'!$B$9)*'Допущения'!E32+'Допущения'!C32*'Допущения'!$B$8*$B46*'Допущения'!F32*(1+'Допущения'!$B$14)^3+E46/(1+'Допущения'!$B$9)*'Допущения'!E33+'Допущения'!C33*'Допущения'!$B$8*$B46*'Допущения'!F33*(1+'Допущения'!$B$14)^3+F46/(1+'Допущения'!$B$9)*'Допущения'!E34+'Допущения'!C34*'Допущения'!$B$8*$B46*'Допущения'!F34*(1+'Допущения'!$B$14)^3+G46/(1+'Допущения'!$B$9)*'Допущения'!E35+'Допущения'!C35*'Допущения'!$B$8*$B46*'Допущения'!F35*(1+'Допущения'!$B$14)^3+H46/(1+'Допущения'!$B$9)*'Допущения'!E36+'Допущения'!C36*'Допущения'!$B$8*$B46*'Допущения'!F36*(1+'Допущения'!$B$14)^3+I46/(1+'Допущения'!$B$9)*'Допущения'!E37+'Допущения'!C37*'Допущения'!$B$8*$B46*'Допущения'!F37*(1+'Допущения'!$B$14)^3</x:f>
        <x:v>472308.89485265076</x:v>
      </x:c>
      <x:c r="M46" s="9" t="n">
        <x:f>J46*'Допущения'!$B$11</x:f>
        <x:v>73478.04193272935</x:v>
      </x:c>
      <x:c r="N46" s="9" t="n">
        <x:f>'Инвестиции'!$C$35*(1+'Допущения'!$B$14)^3</x:f>
        <x:v>1462215.8615006253</x:v>
      </x:c>
      <x:c r="O46" s="9" t="n">
        <x:f>K46*'Допущения'!$B$10</x:f>
        <x:v>209937.262664941</x:v>
      </x:c>
      <x:c r="P46" s="9" t="n">
        <x:f>K46*'Допущения'!$B$12</x:f>
        <x:v>69979.08755498033</x:v>
      </x:c>
      <x:c r="Q46" s="7" t="n">
        <x:f>K46-L46-M46-N46</x:f>
        <x:v>1490951.579463011</x:v>
      </x:c>
      <x:c r="R46" s="7" t="n">
        <x:f>Q46-O46-P46</x:f>
        <x:v>1211035.2292430897</x:v>
      </x:c>
      <x:c r="S46" s="7" t="n">
        <x:f>S45+R46</x:f>
        <x:v>35788081.44495669</x:v>
      </x:c>
      <x:c r="T46" s="7" t="n">
        <x:f>IF(S46&gt;=0,A46,999)</x:f>
        <x:v>40</x:v>
      </x:c>
      <x:c r="U46" s="22" t="n">
        <x:f>'Допущения'!C31*'Допущения'!$B$8*B46*'Допущения'!$B$17/'Допущения'!$B$18/'Допущения'!$B$16</x:f>
        <x:v>19.83189522342065</x:v>
      </x:c>
      <x:c r="V46" s="7"/>
      <x:c r="W46" s="7"/>
    </x:row>
    <x:row r="47" ht="23" customHeight="1">
      <x:c r="A47" s="1" t="n">
        <x:v>41</x:v>
      </x:c>
      <x:c r="B47" s="17" t="n">
        <x:f>'Допущения'!C46*'Допущения'!D53</x:f>
        <x:v>0.8644067796610169</x:v>
      </x:c>
      <x:c r="C47" s="9" t="n">
        <x:f>'Допущения'!C31*'Допущения'!$B$8*'Допущения'!D31*$B47*(1+'Допущения'!$B$13)^3</x:f>
        <x:v>1891142.6139793217</x:v>
      </x:c>
      <x:c r="D47" s="9" t="n">
        <x:f>'Допущения'!C32*'Допущения'!$B$8*'Допущения'!D32*$B47*(1+'Допущения'!$B$13)^3</x:f>
        <x:v>90054.41018949152</x:v>
      </x:c>
      <x:c r="E47" s="9" t="n">
        <x:f>'Допущения'!C33*'Допущения'!$B$8*'Допущения'!D33*$B47*(1+'Допущения'!$B$13)^3</x:f>
        <x:v>340405.67051627784</x:v>
      </x:c>
      <x:c r="F47" s="9" t="n">
        <x:f>'Допущения'!C34*'Допущения'!$B$8*'Допущения'!D34*$B47*(1+'Допущения'!$B$13)^3</x:f>
        <x:v>405244.8458527118</x:v>
      </x:c>
      <x:c r="G47" s="9" t="n">
        <x:f>'Допущения'!C35*'Допущения'!$B$8*'Допущения'!D35*$B47*(1+'Допущения'!$B$13)^3</x:f>
        <x:v>675408.0764211863</x:v>
      </x:c>
      <x:c r="H47" s="9" t="n">
        <x:f>'Допущения'!C36*'Допущения'!$B$8*'Допущения'!D36*$B47*(1+'Допущения'!$B$13)^3</x:f>
        <x:v>67540.80764211864</x:v>
      </x:c>
      <x:c r="I47" s="9" t="n">
        <x:f>'Допущения'!C37*'Допущения'!$B$8*'Допущения'!D37*$B47*(1+'Допущения'!$B$13)^3</x:f>
        <x:v>0</x:v>
      </x:c>
      <x:c r="J47" s="7" t="n">
        <x:f>SUM(C47:I47)</x:f>
        <x:v>3469796.4246011074</x:v>
      </x:c>
      <x:c r="K47" s="9" t="n">
        <x:f>J47/(1+'Допущения'!$B$9)</x:f>
        <x:v>3304568.023429626</x:v>
      </x:c>
      <x:c r="L47" s="9" t="n">
        <x:f>C47/(1+'Допущения'!$B$9)*'Допущения'!E31+'Допущения'!C31*'Допущения'!$B$8*$B47*'Допущения'!F31*(1+'Допущения'!$B$14)^3+D47/(1+'Допущения'!$B$9)*'Допущения'!E32+'Допущения'!C32*'Допущения'!$B$8*$B47*'Допущения'!F32*(1+'Допущения'!$B$14)^3+E47/(1+'Допущения'!$B$9)*'Допущения'!E33+'Допущения'!C33*'Допущения'!$B$8*$B47*'Допущения'!F33*(1+'Допущения'!$B$14)^3+F47/(1+'Допущения'!$B$9)*'Допущения'!E34+'Допущения'!C34*'Допущения'!$B$8*$B47*'Допущения'!F34*(1+'Допущения'!$B$14)^3+G47/(1+'Допущения'!$B$9)*'Допущения'!E35+'Допущения'!C35*'Допущения'!$B$8*$B47*'Допущения'!F35*(1+'Допущения'!$B$14)^3+H47/(1+'Допущения'!$B$9)*'Допущения'!E36+'Допущения'!C36*'Допущения'!$B$8*$B47*'Допущения'!F36*(1+'Допущения'!$B$14)^3+I47/(1+'Допущения'!$B$9)*'Допущения'!E37+'Допущения'!C37*'Допущения'!$B$8*$B47*'Допущения'!F37*(1+'Допущения'!$B$14)^3</x:f>
        <x:v>446069.5118052813</x:v>
      </x:c>
      <x:c r="M47" s="9" t="n">
        <x:f>J47*'Допущения'!$B$11</x:f>
        <x:v>69395.92849202215</x:v>
      </x:c>
      <x:c r="N47" s="9" t="n">
        <x:f>'Инвестиции'!$C$35*(1+'Допущения'!$B$14)^3</x:f>
        <x:v>1462215.8615006253</x:v>
      </x:c>
      <x:c r="O47" s="9" t="n">
        <x:f>K47*'Допущения'!$B$10</x:f>
        <x:v>198274.08140577757</x:v>
      </x:c>
      <x:c r="P47" s="9" t="n">
        <x:f>K47*'Допущения'!$B$12</x:f>
        <x:v>66091.36046859252</x:v>
      </x:c>
      <x:c r="Q47" s="7" t="n">
        <x:f>K47-L47-M47-N47</x:f>
        <x:v>1326886.7216316971</x:v>
      </x:c>
      <x:c r="R47" s="7" t="n">
        <x:f>Q47-O47-P47</x:f>
        <x:v>1062521.2797573272</x:v>
      </x:c>
      <x:c r="S47" s="7" t="n">
        <x:f>S46+R47</x:f>
        <x:v>36850602.72471402</x:v>
      </x:c>
      <x:c r="T47" s="7" t="n">
        <x:f>IF(S47&gt;=0,A47,999)</x:f>
        <x:v>41</x:v>
      </x:c>
      <x:c r="U47" s="22" t="n">
        <x:f>'Допущения'!C31*'Допущения'!$B$8*B47*'Допущения'!$B$17/'Допущения'!$B$18/'Допущения'!$B$16</x:f>
        <x:v>18.73012326656394</x:v>
      </x:c>
      <x:c r="V47" s="7"/>
      <x:c r="W47" s="7"/>
    </x:row>
    <x:row r="48" ht="23" customHeight="1">
      <x:c r="A48" s="1" t="n">
        <x:v>42</x:v>
      </x:c>
      <x:c r="B48" s="17" t="n">
        <x:f>'Допущения'!C47*'Допущения'!D53</x:f>
        <x:v>0.7118644067796609</x:v>
      </x:c>
      <x:c r="C48" s="9" t="n">
        <x:f>'Допущения'!C31*'Допущения'!$B$8*'Допущения'!D31*$B48*(1+'Допущения'!$B$13)^3</x:f>
        <x:v>1557411.564453559</x:v>
      </x:c>
      <x:c r="D48" s="9" t="n">
        <x:f>'Допущения'!C32*'Допущения'!$B$8*'Допущения'!D32*$B48*(1+'Допущения'!$B$13)^3</x:f>
        <x:v>74162.45545016948</x:v>
      </x:c>
      <x:c r="E48" s="9" t="n">
        <x:f>'Допущения'!C33*'Допущения'!$B$8*'Допущения'!D33*$B48*(1+'Допущения'!$B$13)^3</x:f>
        <x:v>280334.0816016406</x:v>
      </x:c>
      <x:c r="F48" s="9" t="n">
        <x:f>'Допущения'!C34*'Допущения'!$B$8*'Допущения'!D34*$B48*(1+'Допущения'!$B$13)^3</x:f>
        <x:v>333731.0495257627</x:v>
      </x:c>
      <x:c r="G48" s="9" t="n">
        <x:f>'Допущения'!C35*'Допущения'!$B$8*'Допущения'!D35*$B48*(1+'Допущения'!$B$13)^3</x:f>
        <x:v>556218.4158762711</x:v>
      </x:c>
      <x:c r="H48" s="9" t="n">
        <x:f>'Допущения'!C36*'Допущения'!$B$8*'Допущения'!D36*$B48*(1+'Допущения'!$B$13)^3</x:f>
        <x:v>55621.84158762711</x:v>
      </x:c>
      <x:c r="I48" s="9" t="n">
        <x:f>'Допущения'!C37*'Допущения'!$B$8*'Допущения'!D37*$B48*(1+'Допущения'!$B$13)^3</x:f>
        <x:v>0</x:v>
      </x:c>
      <x:c r="J48" s="7" t="n">
        <x:f>SUM(C48:I48)</x:f>
        <x:v>2857479.4084950304</x:v>
      </x:c>
      <x:c r="K48" s="9" t="n">
        <x:f>J48/(1+'Допущения'!$B$9)</x:f>
        <x:v>2721408.9604714573</x:v>
      </x:c>
      <x:c r="L48" s="9" t="n">
        <x:f>C48/(1+'Допущения'!$B$9)*'Допущения'!E31+'Допущения'!C31*'Допущения'!$B$8*$B48*'Допущения'!F31*(1+'Допущения'!$B$14)^3+D48/(1+'Допущения'!$B$9)*'Допущения'!E32+'Допущения'!C32*'Допущения'!$B$8*$B48*'Допущения'!F32*(1+'Допущения'!$B$14)^3+E48/(1+'Допущения'!$B$9)*'Допущения'!E33+'Допущения'!C33*'Допущения'!$B$8*$B48*'Допущения'!F33*(1+'Допущения'!$B$14)^3+F48/(1+'Допущения'!$B$9)*'Допущения'!E34+'Допущения'!C34*'Допущения'!$B$8*$B48*'Допущения'!F34*(1+'Допущения'!$B$14)^3+G48/(1+'Допущения'!$B$9)*'Допущения'!E35+'Допущения'!C35*'Допущения'!$B$8*$B48*'Допущения'!F35*(1+'Допущения'!$B$14)^3+H48/(1+'Допущения'!$B$9)*'Допущения'!E36+'Допущения'!C36*'Допущения'!$B$8*$B48*'Допущения'!F36*(1+'Допущения'!$B$14)^3+I48/(1+'Допущения'!$B$9)*'Допущения'!E37+'Допущения'!C37*'Допущения'!$B$8*$B48*'Допущения'!F37*(1+'Допущения'!$B$14)^3</x:f>
        <x:v>367351.3626631728</x:v>
      </x:c>
      <x:c r="M48" s="9" t="n">
        <x:f>J48*'Допущения'!$B$11</x:f>
        <x:v>57149.588169900606</x:v>
      </x:c>
      <x:c r="N48" s="9" t="n">
        <x:f>'Инвестиции'!$C$35*(1+'Допущения'!$B$14)^3</x:f>
        <x:v>1462215.8615006253</x:v>
      </x:c>
      <x:c r="O48" s="9" t="n">
        <x:f>K48*'Допущения'!$B$10</x:f>
        <x:v>163284.53762828742</x:v>
      </x:c>
      <x:c r="P48" s="9" t="n">
        <x:f>K48*'Допущения'!$B$12</x:f>
        <x:v>54428.179209429145</x:v>
      </x:c>
      <x:c r="Q48" s="7" t="n">
        <x:f>K48-L48-M48-N48</x:f>
        <x:v>834692.1481377587</x:v>
      </x:c>
      <x:c r="R48" s="7" t="n">
        <x:f>Q48-O48-P48</x:f>
        <x:v>616979.4313000421</x:v>
      </x:c>
      <x:c r="S48" s="7" t="n">
        <x:f>S47+R48</x:f>
        <x:v>37467582.15601406</x:v>
      </x:c>
      <x:c r="T48" s="7" t="n">
        <x:f>IF(S48&gt;=0,A48,999)</x:f>
        <x:v>42</x:v>
      </x:c>
      <x:c r="U48" s="22" t="n">
        <x:f>'Допущения'!C31*'Допущения'!$B$8*B48*'Допущения'!$B$17/'Допущения'!$B$18/'Допущения'!$B$16</x:f>
        <x:v>15.424807395993833</x:v>
      </x:c>
      <x:c r="V48" s="7"/>
      <x:c r="W48" s="7"/>
    </x:row>
    <x:row r="49" ht="23" customHeight="1">
      <x:c r="A49" s="1" t="n">
        <x:v>43</x:v>
      </x:c>
      <x:c r="B49" s="17" t="n">
        <x:f>'Допущения'!C48*'Допущения'!D53</x:f>
        <x:v>0.7627118644067796</x:v>
      </x:c>
      <x:c r="C49" s="9" t="n">
        <x:f>'Допущения'!C31*'Допущения'!$B$8*'Допущения'!D31*$B49*(1+'Допущения'!$B$13)^3</x:f>
        <x:v>1668655.2476288131</x:v>
      </x:c>
      <x:c r="D49" s="9" t="n">
        <x:f>'Допущения'!C32*'Допущения'!$B$8*'Допущения'!D32*$B49*(1+'Допущения'!$B$13)^3</x:f>
        <x:v>79459.77369661017</x:v>
      </x:c>
      <x:c r="E49" s="9" t="n">
        <x:f>'Допущения'!C33*'Допущения'!$B$8*'Допущения'!D33*$B49*(1+'Допущения'!$B$13)^3</x:f>
        <x:v>300357.9445731864</x:v>
      </x:c>
      <x:c r="F49" s="9" t="n">
        <x:f>'Допущения'!C34*'Допущения'!$B$8*'Допущения'!D34*$B49*(1+'Допущения'!$B$13)^3</x:f>
        <x:v>357568.9816347457</x:v>
      </x:c>
      <x:c r="G49" s="9" t="n">
        <x:f>'Допущения'!C35*'Допущения'!$B$8*'Допущения'!D35*$B49*(1+'Допущения'!$B$13)^3</x:f>
        <x:v>595948.3027245762</x:v>
      </x:c>
      <x:c r="H49" s="9" t="n">
        <x:f>'Допущения'!C36*'Допущения'!$B$8*'Допущения'!D36*$B49*(1+'Допущения'!$B$13)^3</x:f>
        <x:v>59594.83027245762</x:v>
      </x:c>
      <x:c r="I49" s="9" t="n">
        <x:f>'Допущения'!C37*'Допущения'!$B$8*'Допущения'!D37*$B49*(1+'Допущения'!$B$13)^3</x:f>
        <x:v>0</x:v>
      </x:c>
      <x:c r="J49" s="7" t="n">
        <x:f>SUM(C49:I49)</x:f>
        <x:v>3061585.080530389</x:v>
      </x:c>
      <x:c r="K49" s="9" t="n">
        <x:f>J49/(1+'Допущения'!$B$9)</x:f>
        <x:v>2915795.314790847</x:v>
      </x:c>
      <x:c r="L49" s="9" t="n">
        <x:f>C49/(1+'Допущения'!$B$9)*'Допущения'!E31+'Допущения'!C31*'Допущения'!$B$8*$B49*'Допущения'!F31*(1+'Допущения'!$B$14)^3+D49/(1+'Допущения'!$B$9)*'Допущения'!E32+'Допущения'!C32*'Допущения'!$B$8*$B49*'Допущения'!F32*(1+'Допущения'!$B$14)^3+E49/(1+'Допущения'!$B$9)*'Допущения'!E33+'Допущения'!C33*'Допущения'!$B$8*$B49*'Допущения'!F33*(1+'Допущения'!$B$14)^3+F49/(1+'Допущения'!$B$9)*'Допущения'!E34+'Допущения'!C34*'Допущения'!$B$8*$B49*'Допущения'!F34*(1+'Допущения'!$B$14)^3+G49/(1+'Допущения'!$B$9)*'Допущения'!E35+'Допущения'!C35*'Допущения'!$B$8*$B49*'Допущения'!F35*(1+'Допущения'!$B$14)^3+H49/(1+'Допущения'!$B$9)*'Допущения'!E36+'Допущения'!C36*'Допущения'!$B$8*$B49*'Допущения'!F36*(1+'Допущения'!$B$14)^3+I49/(1+'Допущения'!$B$9)*'Допущения'!E37+'Допущения'!C37*'Допущения'!$B$8*$B49*'Допущения'!F37*(1+'Допущения'!$B$14)^3</x:f>
        <x:v>393590.74571054237</x:v>
      </x:c>
      <x:c r="M49" s="9" t="n">
        <x:f>J49*'Допущения'!$B$11</x:f>
        <x:v>61231.701610607786</x:v>
      </x:c>
      <x:c r="N49" s="9" t="n">
        <x:f>'Инвестиции'!$C$35*(1+'Допущения'!$B$14)^3</x:f>
        <x:v>1462215.8615006253</x:v>
      </x:c>
      <x:c r="O49" s="9" t="n">
        <x:f>K49*'Допущения'!$B$10</x:f>
        <x:v>174947.7188874508</x:v>
      </x:c>
      <x:c r="P49" s="9" t="n">
        <x:f>K49*'Допущения'!$B$12</x:f>
        <x:v>58315.90629581694</x:v>
      </x:c>
      <x:c r="Q49" s="7" t="n">
        <x:f>K49-L49-M49-N49</x:f>
        <x:v>998757.0059690715</x:v>
      </x:c>
      <x:c r="R49" s="7" t="n">
        <x:f>Q49-O49-P49</x:f>
        <x:v>765493.3807858038</x:v>
      </x:c>
      <x:c r="S49" s="7" t="n">
        <x:f>S48+R49</x:f>
        <x:v>38233075.53679986</x:v>
      </x:c>
      <x:c r="T49" s="7" t="n">
        <x:f>IF(S49&gt;=0,A49,999)</x:f>
        <x:v>43</x:v>
      </x:c>
      <x:c r="U49" s="22" t="n">
        <x:f>'Допущения'!C31*'Допущения'!$B$8*B49*'Допущения'!$B$17/'Допущения'!$B$18/'Допущения'!$B$16</x:f>
        <x:v>16.526579352850536</x:v>
      </x:c>
      <x:c r="V49" s="7"/>
      <x:c r="W49" s="7"/>
    </x:row>
    <x:row r="50" ht="23" customHeight="1">
      <x:c r="A50" s="1" t="n">
        <x:v>44</x:v>
      </x:c>
      <x:c r="B50" s="17" t="n">
        <x:f>'Допущения'!C49*'Допущения'!D53</x:f>
        <x:v>0.8135593220338982</x:v>
      </x:c>
      <x:c r="C50" s="9" t="n">
        <x:f>'Допущения'!C31*'Допущения'!$B$8*'Допущения'!D31*$B50*(1+'Допущения'!$B$13)^3</x:f>
        <x:v>1779898.9308040673</x:v>
      </x:c>
      <x:c r="D50" s="9" t="n">
        <x:f>'Допущения'!C32*'Допущения'!$B$8*'Допущения'!D32*$B50*(1+'Допущения'!$B$13)^3</x:f>
        <x:v>84757.09194305084</x:v>
      </x:c>
      <x:c r="E50" s="9" t="n">
        <x:f>'Допущения'!C33*'Допущения'!$B$8*'Допущения'!D33*$B50*(1+'Допущения'!$B$13)^3</x:f>
        <x:v>320381.8075447322</x:v>
      </x:c>
      <x:c r="F50" s="9" t="n">
        <x:f>'Допущения'!C34*'Допущения'!$B$8*'Допущения'!D34*$B50*(1+'Допущения'!$B$13)^3</x:f>
        <x:v>381406.9137437288</x:v>
      </x:c>
      <x:c r="G50" s="9" t="n">
        <x:f>'Допущения'!C35*'Допущения'!$B$8*'Допущения'!D35*$B50*(1+'Допущения'!$B$13)^3</x:f>
        <x:v>635678.1895728813</x:v>
      </x:c>
      <x:c r="H50" s="9" t="n">
        <x:f>'Допущения'!C36*'Допущения'!$B$8*'Допущения'!D36*$B50*(1+'Допущения'!$B$13)^3</x:f>
        <x:v>63567.81895728813</x:v>
      </x:c>
      <x:c r="I50" s="9" t="n">
        <x:f>'Допущения'!C37*'Допущения'!$B$8*'Допущения'!D37*$B50*(1+'Допущения'!$B$13)^3</x:f>
        <x:v>0</x:v>
      </x:c>
      <x:c r="J50" s="7" t="n">
        <x:f>SUM(C50:I50)</x:f>
        <x:v>3265690.7525657485</x:v>
      </x:c>
      <x:c r="K50" s="9" t="n">
        <x:f>J50/(1+'Допущения'!$B$9)</x:f>
        <x:v>3110181.6691102367</x:v>
      </x:c>
      <x:c r="L50" s="9" t="n">
        <x:f>C50/(1+'Допущения'!$B$9)*'Допущения'!E31+'Допущения'!C31*'Допущения'!$B$8*$B50*'Допущения'!F31*(1+'Допущения'!$B$14)^3+D50/(1+'Допущения'!$B$9)*'Допущения'!E32+'Допущения'!C32*'Допущения'!$B$8*$B50*'Допущения'!F32*(1+'Допущения'!$B$14)^3+E50/(1+'Допущения'!$B$9)*'Допущения'!E33+'Допущения'!C33*'Допущения'!$B$8*$B50*'Допущения'!F33*(1+'Допущения'!$B$14)^3+F50/(1+'Допущения'!$B$9)*'Допущения'!E34+'Допущения'!C34*'Допущения'!$B$8*$B50*'Допущения'!F34*(1+'Допущения'!$B$14)^3+G50/(1+'Допущения'!$B$9)*'Допущения'!E35+'Допущения'!C35*'Допущения'!$B$8*$B50*'Допущения'!F35*(1+'Допущения'!$B$14)^3+H50/(1+'Допущения'!$B$9)*'Допущения'!E36+'Допущения'!C36*'Допущения'!$B$8*$B50*'Допущения'!F36*(1+'Допущения'!$B$14)^3+I50/(1+'Допущения'!$B$9)*'Допущения'!E37+'Допущения'!C37*'Допущения'!$B$8*$B50*'Допущения'!F37*(1+'Допущения'!$B$14)^3</x:f>
        <x:v>419830.12875791173</x:v>
      </x:c>
      <x:c r="M50" s="9" t="n">
        <x:f>J50*'Допущения'!$B$11</x:f>
        <x:v>65313.815051314974</x:v>
      </x:c>
      <x:c r="N50" s="9" t="n">
        <x:f>'Инвестиции'!$C$35*(1+'Допущения'!$B$14)^3</x:f>
        <x:v>1462215.8615006253</x:v>
      </x:c>
      <x:c r="O50" s="9" t="n">
        <x:f>K50*'Допущения'!$B$10</x:f>
        <x:v>186610.9001466142</x:v>
      </x:c>
      <x:c r="P50" s="9" t="n">
        <x:f>K50*'Допущения'!$B$12</x:f>
        <x:v>62203.63338220474</x:v>
      </x:c>
      <x:c r="Q50" s="7" t="n">
        <x:f>K50-L50-M50-N50</x:f>
        <x:v>1162821.8638003848</x:v>
      </x:c>
      <x:c r="R50" s="7" t="n">
        <x:f>Q50-O50-P50</x:f>
        <x:v>914007.3302715659</x:v>
      </x:c>
      <x:c r="S50" s="7" t="n">
        <x:f>S49+R50</x:f>
        <x:v>39147082.86707143</x:v>
      </x:c>
      <x:c r="T50" s="7" t="n">
        <x:f>IF(S50&gt;=0,A50,999)</x:f>
        <x:v>44</x:v>
      </x:c>
      <x:c r="U50" s="22" t="n">
        <x:f>'Допущения'!C31*'Допущения'!$B$8*B50*'Допущения'!$B$17/'Допущения'!$B$18/'Допущения'!$B$16</x:f>
        <x:v>17.62835130970724</x:v>
      </x:c>
      <x:c r="V50" s="7"/>
      <x:c r="W50" s="7"/>
    </x:row>
    <x:row r="51" ht="23" customHeight="1">
      <x:c r="A51" s="1" t="n">
        <x:v>45</x:v>
      </x:c>
      <x:c r="B51" s="17" t="n">
        <x:f>'Допущения'!C50*'Допущения'!D53</x:f>
        <x:v>1.0677966101694916</x:v>
      </x:c>
      <x:c r="C51" s="9" t="n">
        <x:f>'Допущения'!C31*'Допущения'!$B$8*'Допущения'!D31*$B51*(1+'Допущения'!$B$13)^3</x:f>
        <x:v>2336117.3466803385</x:v>
      </x:c>
      <x:c r="D51" s="9" t="n">
        <x:f>'Допущения'!C32*'Допущения'!$B$8*'Допущения'!D32*$B51*(1+'Допущения'!$B$13)^3</x:f>
        <x:v>111243.68317525425</x:v>
      </x:c>
      <x:c r="E51" s="9" t="n">
        <x:f>'Допущения'!C33*'Допущения'!$B$8*'Допущения'!D33*$B51*(1+'Допущения'!$B$13)^3</x:f>
        <x:v>420501.122402461</x:v>
      </x:c>
      <x:c r="F51" s="9" t="n">
        <x:f>'Допущения'!C34*'Допущения'!$B$8*'Допущения'!D34*$B51*(1+'Допущения'!$B$13)^3</x:f>
        <x:v>500596.5742886441</x:v>
      </x:c>
      <x:c r="G51" s="9" t="n">
        <x:f>'Допущения'!C35*'Допущения'!$B$8*'Допущения'!D35*$B51*(1+'Допущения'!$B$13)^3</x:f>
        <x:v>834327.6238144068</x:v>
      </x:c>
      <x:c r="H51" s="9" t="n">
        <x:f>'Допущения'!C36*'Допущения'!$B$8*'Допущения'!D36*$B51*(1+'Допущения'!$B$13)^3</x:f>
        <x:v>83432.76238144068</x:v>
      </x:c>
      <x:c r="I51" s="9" t="n">
        <x:f>'Допущения'!C37*'Допущения'!$B$8*'Допущения'!D37*$B51*(1+'Допущения'!$B$13)^3</x:f>
        <x:v>0</x:v>
      </x:c>
      <x:c r="J51" s="7" t="n">
        <x:f>SUM(C51:I51)</x:f>
        <x:v>4286219.112742545</x:v>
      </x:c>
      <x:c r="K51" s="9" t="n">
        <x:f>J51/(1+'Допущения'!$B$9)</x:f>
        <x:v>4082113.440707186</x:v>
      </x:c>
      <x:c r="L51" s="9" t="n">
        <x:f>C51/(1+'Допущения'!$B$9)*'Допущения'!E31+'Допущения'!C31*'Допущения'!$B$8*$B51*'Допущения'!F31*(1+'Допущения'!$B$14)^3+D51/(1+'Допущения'!$B$9)*'Допущения'!E32+'Допущения'!C32*'Допущения'!$B$8*$B51*'Допущения'!F32*(1+'Допущения'!$B$14)^3+E51/(1+'Допущения'!$B$9)*'Допущения'!E33+'Допущения'!C33*'Допущения'!$B$8*$B51*'Допущения'!F33*(1+'Допущения'!$B$14)^3+F51/(1+'Допущения'!$B$9)*'Допущения'!E34+'Допущения'!C34*'Допущения'!$B$8*$B51*'Допущения'!F34*(1+'Допущения'!$B$14)^3+G51/(1+'Допущения'!$B$9)*'Допущения'!E35+'Допущения'!C35*'Допущения'!$B$8*$B51*'Допущения'!F35*(1+'Допущения'!$B$14)^3+H51/(1+'Допущения'!$B$9)*'Допущения'!E36+'Допущения'!C36*'Допущения'!$B$8*$B51*'Допущения'!F36*(1+'Допущения'!$B$14)^3+I51/(1+'Допущения'!$B$9)*'Допущения'!E37+'Допущения'!C37*'Допущения'!$B$8*$B51*'Допущения'!F37*(1+'Допущения'!$B$14)^3</x:f>
        <x:v>551027.0439947593</x:v>
      </x:c>
      <x:c r="M51" s="9" t="n">
        <x:f>J51*'Допущения'!$B$11</x:f>
        <x:v>85724.3822548509</x:v>
      </x:c>
      <x:c r="N51" s="9" t="n">
        <x:f>'Инвестиции'!$C$35*(1+'Допущения'!$B$14)^3</x:f>
        <x:v>1462215.8615006253</x:v>
      </x:c>
      <x:c r="O51" s="9" t="n">
        <x:f>K51*'Допущения'!$B$10</x:f>
        <x:v>244926.80644243115</x:v>
      </x:c>
      <x:c r="P51" s="9" t="n">
        <x:f>K51*'Допущения'!$B$12</x:f>
        <x:v>81642.26881414371</x:v>
      </x:c>
      <x:c r="Q51" s="7" t="n">
        <x:f>K51-L51-M51-N51</x:f>
        <x:v>1983146.1529569502</x:v>
      </x:c>
      <x:c r="R51" s="7" t="n">
        <x:f>Q51-O51-P51</x:f>
        <x:v>1656577.0777003753</x:v>
      </x:c>
      <x:c r="S51" s="7" t="n">
        <x:f>S50+R51</x:f>
        <x:v>40803659.944771804</x:v>
      </x:c>
      <x:c r="T51" s="7" t="n">
        <x:f>IF(S51&gt;=0,A51,999)</x:f>
        <x:v>45</x:v>
      </x:c>
      <x:c r="U51" s="22" t="n">
        <x:f>'Допущения'!C31*'Допущения'!$B$8*B51*'Допущения'!$B$17/'Допущения'!$B$18/'Допущения'!$B$16</x:f>
        <x:v>23.137211093990754</x:v>
      </x:c>
      <x:c r="V51" s="7"/>
      <x:c r="W51" s="7"/>
    </x:row>
    <x:row r="52" ht="23" customHeight="1">
      <x:c r="A52" s="1" t="n">
        <x:v>46</x:v>
      </x:c>
      <x:c r="B52" s="17" t="n">
        <x:f>'Допущения'!C51*'Допущения'!D53</x:f>
        <x:v>1.1694915254237286</x:v>
      </x:c>
      <x:c r="C52" s="9" t="n">
        <x:f>'Допущения'!C31*'Допущения'!$B$8*'Допущения'!D31*$B52*(1+'Допущения'!$B$13)^3</x:f>
        <x:v>2558604.7130308463</x:v>
      </x:c>
      <x:c r="D52" s="9" t="n">
        <x:f>'Допущения'!C32*'Допущения'!$B$8*'Допущения'!D32*$B52*(1+'Допущения'!$B$13)^3</x:f>
        <x:v>121838.31966813556</x:v>
      </x:c>
      <x:c r="E52" s="9" t="n">
        <x:f>'Допущения'!C33*'Допущения'!$B$8*'Допущения'!D33*$B52*(1+'Допущения'!$B$13)^3</x:f>
        <x:v>460548.8483455524</x:v>
      </x:c>
      <x:c r="F52" s="9" t="n">
        <x:f>'Допущения'!C34*'Допущения'!$B$8*'Допущения'!D34*$B52*(1+'Допущения'!$B$13)^3</x:f>
        <x:v>548272.4385066101</x:v>
      </x:c>
      <x:c r="G52" s="9" t="n">
        <x:f>'Допущения'!C35*'Допущения'!$B$8*'Допущения'!D35*$B52*(1+'Допущения'!$B$13)^3</x:f>
        <x:v>913787.3975110168</x:v>
      </x:c>
      <x:c r="H52" s="9" t="n">
        <x:f>'Допущения'!C36*'Допущения'!$B$8*'Допущения'!D36*$B52*(1+'Допущения'!$B$13)^3</x:f>
        <x:v>91378.73975110168</x:v>
      </x:c>
      <x:c r="I52" s="9" t="n">
        <x:f>'Допущения'!C37*'Допущения'!$B$8*'Допущения'!D37*$B52*(1+'Допущения'!$B$13)^3</x:f>
        <x:v>0</x:v>
      </x:c>
      <x:c r="J52" s="7" t="n">
        <x:f>SUM(C52:I52)</x:f>
        <x:v>4694430.456813263</x:v>
      </x:c>
      <x:c r="K52" s="9" t="n">
        <x:f>J52/(1+'Допущения'!$B$9)</x:f>
        <x:v>4470886.149345964</x:v>
      </x:c>
      <x:c r="L52" s="9" t="n">
        <x:f>C52/(1+'Допущения'!$B$9)*'Допущения'!E31+'Допущения'!C31*'Допущения'!$B$8*$B52*'Допущения'!F31*(1+'Допущения'!$B$14)^3+D52/(1+'Допущения'!$B$9)*'Допущения'!E32+'Допущения'!C32*'Допущения'!$B$8*$B52*'Допущения'!F32*(1+'Допущения'!$B$14)^3+E52/(1+'Допущения'!$B$9)*'Допущения'!E33+'Допущения'!C33*'Допущения'!$B$8*$B52*'Допущения'!F33*(1+'Допущения'!$B$14)^3+F52/(1+'Допущения'!$B$9)*'Допущения'!E34+'Допущения'!C34*'Допущения'!$B$8*$B52*'Допущения'!F34*(1+'Допущения'!$B$14)^3+G52/(1+'Допущения'!$B$9)*'Допущения'!E35+'Допущения'!C35*'Допущения'!$B$8*$B52*'Допущения'!F35*(1+'Допущения'!$B$14)^3+H52/(1+'Допущения'!$B$9)*'Допущения'!E36+'Допущения'!C36*'Допущения'!$B$8*$B52*'Допущения'!F36*(1+'Допущения'!$B$14)^3+I52/(1+'Допущения'!$B$9)*'Допущения'!E37+'Допущения'!C37*'Допущения'!$B$8*$B52*'Допущения'!F37*(1+'Допущения'!$B$14)^3</x:f>
        <x:v>603505.8100894981</x:v>
      </x:c>
      <x:c r="M52" s="9" t="n">
        <x:f>J52*'Допущения'!$B$11</x:f>
        <x:v>93888.60913626525</x:v>
      </x:c>
      <x:c r="N52" s="9" t="n">
        <x:f>'Инвестиции'!$C$35*(1+'Допущения'!$B$14)^3</x:f>
        <x:v>1462215.8615006253</x:v>
      </x:c>
      <x:c r="O52" s="9" t="n">
        <x:f>K52*'Допущения'!$B$10</x:f>
        <x:v>268253.16896075784</x:v>
      </x:c>
      <x:c r="P52" s="9" t="n">
        <x:f>K52*'Допущения'!$B$12</x:f>
        <x:v>89417.72298691928</x:v>
      </x:c>
      <x:c r="Q52" s="7" t="n">
        <x:f>K52-L52-M52-N52</x:f>
        <x:v>2311275.868619576</x:v>
      </x:c>
      <x:c r="R52" s="7" t="n">
        <x:f>Q52-O52-P52</x:f>
        <x:v>1953604.976671899</x:v>
      </x:c>
      <x:c r="S52" s="7" t="n">
        <x:f>S51+R52</x:f>
        <x:v>42757264.9214437</x:v>
      </x:c>
      <x:c r="T52" s="7" t="n">
        <x:f>IF(S52&gt;=0,A52,999)</x:f>
        <x:v>46</x:v>
      </x:c>
      <x:c r="U52" s="22" t="n">
        <x:f>'Допущения'!C31*'Допущения'!$B$8*B52*'Допущения'!$B$17/'Допущения'!$B$18/'Допущения'!$B$16</x:f>
        <x:v>25.340755007704157</x:v>
      </x:c>
      <x:c r="V52" s="7"/>
      <x:c r="W52" s="7"/>
    </x:row>
    <x:row r="53" ht="23" customHeight="1">
      <x:c r="A53" s="1" t="n">
        <x:v>47</x:v>
      </x:c>
      <x:c r="B53" s="17" t="n">
        <x:f>'Допущения'!C52*'Допущения'!D53</x:f>
        <x:v>1.2203389830508473</x:v>
      </x:c>
      <x:c r="C53" s="9" t="n">
        <x:f>'Допущения'!C31*'Допущения'!$B$8*'Допущения'!D31*$B53*(1+'Допущения'!$B$13)^3</x:f>
        <x:v>2669848.3962061014</x:v>
      </x:c>
      <x:c r="D53" s="9" t="n">
        <x:f>'Допущения'!C32*'Допущения'!$B$8*'Допущения'!D32*$B53*(1+'Допущения'!$B$13)^3</x:f>
        <x:v>127135.63791457626</x:v>
      </x:c>
      <x:c r="E53" s="9" t="n">
        <x:f>'Допущения'!C33*'Допущения'!$B$8*'Допущения'!D33*$B53*(1+'Допущения'!$B$13)^3</x:f>
        <x:v>480572.7113170982</x:v>
      </x:c>
      <x:c r="F53" s="9" t="n">
        <x:f>'Допущения'!C34*'Допущения'!$B$8*'Допущения'!D34*$B53*(1+'Допущения'!$B$13)^3</x:f>
        <x:v>572110.3706155932</x:v>
      </x:c>
      <x:c r="G53" s="9" t="n">
        <x:f>'Допущения'!C35*'Допущения'!$B$8*'Допущения'!D35*$B53*(1+'Допущения'!$B$13)^3</x:f>
        <x:v>953517.2843593219</x:v>
      </x:c>
      <x:c r="H53" s="9" t="n">
        <x:f>'Допущения'!C36*'Допущения'!$B$8*'Допущения'!D36*$B53*(1+'Допущения'!$B$13)^3</x:f>
        <x:v>95351.7284359322</x:v>
      </x:c>
      <x:c r="I53" s="9" t="n">
        <x:f>'Допущения'!C37*'Допущения'!$B$8*'Допущения'!D37*$B53*(1+'Допущения'!$B$13)^3</x:f>
        <x:v>0</x:v>
      </x:c>
      <x:c r="J53" s="7" t="n">
        <x:f>SUM(C53:I53)</x:f>
        <x:v>4898536.1288486235</x:v>
      </x:c>
      <x:c r="K53" s="9" t="n">
        <x:f>J53/(1+'Допущения'!$B$9)</x:f>
        <x:v>4665272.503665356</x:v>
      </x:c>
      <x:c r="L53" s="9" t="n">
        <x:f>C53/(1+'Допущения'!$B$9)*'Допущения'!E31+'Допущения'!C31*'Допущения'!$B$8*$B53*'Допущения'!F31*(1+'Допущения'!$B$14)^3+D53/(1+'Допущения'!$B$9)*'Допущения'!E32+'Допущения'!C32*'Допущения'!$B$8*$B53*'Допущения'!F32*(1+'Допущения'!$B$14)^3+E53/(1+'Допущения'!$B$9)*'Допущения'!E33+'Допущения'!C33*'Допущения'!$B$8*$B53*'Допущения'!F33*(1+'Допущения'!$B$14)^3+F53/(1+'Допущения'!$B$9)*'Допущения'!E34+'Допущения'!C34*'Допущения'!$B$8*$B53*'Допущения'!F34*(1+'Допущения'!$B$14)^3+G53/(1+'Допущения'!$B$9)*'Допущения'!E35+'Допущения'!C35*'Допущения'!$B$8*$B53*'Допущения'!F35*(1+'Допущения'!$B$14)^3+H53/(1+'Допущения'!$B$9)*'Допущения'!E36+'Допущения'!C36*'Допущения'!$B$8*$B53*'Допущения'!F36*(1+'Допущения'!$B$14)^3+I53/(1+'Допущения'!$B$9)*'Допущения'!E37+'Допущения'!C37*'Допущения'!$B$8*$B53*'Допущения'!F37*(1+'Допущения'!$B$14)^3</x:f>
        <x:v>629745.1931368676</x:v>
      </x:c>
      <x:c r="M53" s="9" t="n">
        <x:f>J53*'Допущения'!$B$11</x:f>
        <x:v>97970.72257697248</x:v>
      </x:c>
      <x:c r="N53" s="9" t="n">
        <x:f>'Инвестиции'!$C$35*(1+'Допущения'!$B$14)^3</x:f>
        <x:v>1462215.8615006253</x:v>
      </x:c>
      <x:c r="O53" s="9" t="n">
        <x:f>K53*'Допущения'!$B$10</x:f>
        <x:v>279916.3502199213</x:v>
      </x:c>
      <x:c r="P53" s="9" t="n">
        <x:f>K53*'Допущения'!$B$12</x:f>
        <x:v>93305.45007330712</x:v>
      </x:c>
      <x:c r="Q53" s="7" t="n">
        <x:f>K53-L53-M53-N53</x:f>
        <x:v>2475340.7264508903</x:v>
      </x:c>
      <x:c r="R53" s="7" t="n">
        <x:f>Q53-O53-P53</x:f>
        <x:v>2102118.926157662</x:v>
      </x:c>
      <x:c r="S53" s="7" t="n">
        <x:f>S52+R53</x:f>
        <x:v>44859383.84760136</x:v>
      </x:c>
      <x:c r="T53" s="7" t="n">
        <x:f>IF(S53&gt;=0,A53,999)</x:f>
        <x:v>47</x:v>
      </x:c>
      <x:c r="U53" s="22" t="n">
        <x:f>'Допущения'!C31*'Допущения'!$B$8*B53*'Допущения'!$B$17/'Допущения'!$B$18/'Допущения'!$B$16</x:f>
        <x:v>26.442526964560855</x:v>
      </x:c>
      <x:c r="V53" s="7"/>
      <x:c r="W53" s="7"/>
    </x:row>
    <x:row r="54" ht="23" customHeight="1">
      <x:c r="A54" s="1" t="n">
        <x:v>48</x:v>
      </x:c>
      <x:c r="B54" s="17" t="n">
        <x:f>'Допущения'!C53*'Допущения'!D53</x:f>
        <x:v>1.271186440677966</x:v>
      </x:c>
      <x:c r="C54" s="9" t="n">
        <x:f>'Допущения'!C31*'Допущения'!$B$8*'Допущения'!D31*$B54*(1+'Допущения'!$B$13)^3</x:f>
        <x:v>2781092.0793813556</x:v>
      </x:c>
      <x:c r="D54" s="9" t="n">
        <x:f>'Допущения'!C32*'Допущения'!$B$8*'Допущения'!D32*$B54*(1+'Допущения'!$B$13)^3</x:f>
        <x:v>132432.95616101695</x:v>
      </x:c>
      <x:c r="E54" s="9" t="n">
        <x:f>'Допущения'!C33*'Допущения'!$B$8*'Допущения'!D33*$B54*(1+'Допущения'!$B$13)^3</x:f>
        <x:v>500596.574288644</x:v>
      </x:c>
      <x:c r="F54" s="9" t="n">
        <x:f>'Допущения'!C34*'Допущения'!$B$8*'Допущения'!D34*$B54*(1+'Допущения'!$B$13)^3</x:f>
        <x:v>595948.3027245762</x:v>
      </x:c>
      <x:c r="G54" s="9" t="n">
        <x:f>'Допущения'!C35*'Допущения'!$B$8*'Допущения'!D35*$B54*(1+'Допущения'!$B$13)^3</x:f>
        <x:v>993247.171207627</x:v>
      </x:c>
      <x:c r="H54" s="9" t="n">
        <x:f>'Допущения'!C36*'Допущения'!$B$8*'Допущения'!D36*$B54*(1+'Допущения'!$B$13)^3</x:f>
        <x:v>99324.71712076271</x:v>
      </x:c>
      <x:c r="I54" s="9" t="n">
        <x:f>'Допущения'!C37*'Допущения'!$B$8*'Допущения'!D37*$B54*(1+'Допущения'!$B$13)^3</x:f>
        <x:v>0</x:v>
      </x:c>
      <x:c r="J54" s="7" t="n">
        <x:f>SUM(C54:I54)</x:f>
        <x:v>5102641.800883982</x:v>
      </x:c>
      <x:c r="K54" s="9" t="n">
        <x:f>J54/(1+'Допущения'!$B$9)</x:f>
        <x:v>4859658.857984745</x:v>
      </x:c>
      <x:c r="L54" s="9" t="n">
        <x:f>C54/(1+'Допущения'!$B$9)*'Допущения'!E31+'Допущения'!C31*'Допущения'!$B$8*$B54*'Допущения'!F31*(1+'Допущения'!$B$14)^3+D54/(1+'Допущения'!$B$9)*'Допущения'!E32+'Допущения'!C32*'Допущения'!$B$8*$B54*'Допущения'!F32*(1+'Допущения'!$B$14)^3+E54/(1+'Допущения'!$B$9)*'Допущения'!E33+'Допущения'!C33*'Допущения'!$B$8*$B54*'Допущения'!F33*(1+'Допущения'!$B$14)^3+F54/(1+'Допущения'!$B$9)*'Допущения'!E34+'Допущения'!C34*'Допущения'!$B$8*$B54*'Допущения'!F34*(1+'Допущения'!$B$14)^3+G54/(1+'Допущения'!$B$9)*'Допущения'!E35+'Допущения'!C35*'Допущения'!$B$8*$B54*'Допущения'!F35*(1+'Допущения'!$B$14)^3+H54/(1+'Допущения'!$B$9)*'Допущения'!E36+'Допущения'!C36*'Допущения'!$B$8*$B54*'Допущения'!F36*(1+'Допущения'!$B$14)^3+I54/(1+'Допущения'!$B$9)*'Допущения'!E37+'Допущения'!C37*'Допущения'!$B$8*$B54*'Допущения'!F37*(1+'Допущения'!$B$14)^3</x:f>
        <x:v>655984.5761842371</x:v>
      </x:c>
      <x:c r="M54" s="9" t="n">
        <x:f>J54*'Допущения'!$B$11</x:f>
        <x:v>102052.83601767966</x:v>
      </x:c>
      <x:c r="N54" s="9" t="n">
        <x:f>'Инвестиции'!$C$35*(1+'Допущения'!$B$14)^3</x:f>
        <x:v>1462215.8615006253</x:v>
      </x:c>
      <x:c r="O54" s="9" t="n">
        <x:f>K54*'Допущения'!$B$10</x:f>
        <x:v>291579.5314790847</x:v>
      </x:c>
      <x:c r="P54" s="9" t="n">
        <x:f>K54*'Допущения'!$B$12</x:f>
        <x:v>97193.1771596949</x:v>
      </x:c>
      <x:c r="Q54" s="7" t="n">
        <x:f>K54-L54-M54-N54</x:f>
        <x:v>2639405.5842822026</x:v>
      </x:c>
      <x:c r="R54" s="7" t="n">
        <x:f>Q54-O54-P54</x:f>
        <x:v>2250632.875643423</x:v>
      </x:c>
      <x:c r="S54" s="7" t="n">
        <x:f>S53+R54</x:f>
        <x:v>47110016.723244786</x:v>
      </x:c>
      <x:c r="T54" s="7" t="n">
        <x:f>IF(S54&gt;=0,A54,999)</x:f>
        <x:v>48</x:v>
      </x:c>
      <x:c r="U54" s="22" t="n">
        <x:f>'Допущения'!C31*'Допущения'!$B$8*B54*'Допущения'!$B$17/'Допущения'!$B$18/'Допущения'!$B$16</x:f>
        <x:v>27.544298921417564</x:v>
      </x:c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48" hidden="0" customWidth="1"/>
    <x:col min="3" max="3" width="18" hidden="0" customWidth="1"/>
    <x:col min="4" max="4" width="18" hidden="0" customWidth="1"/>
    <x:col min="5" max="5" width="18" hidden="0" customWidth="1"/>
    <x:col min="6" max="6" width="50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RR-FEC-250 | События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Неделя</x:v>
      </x:c>
      <x:c r="B6" s="25" t="str">
        <x:v>Формат</x:v>
      </x:c>
      <x:c r="C6" s="24" t="str">
        <x:v>Частота</x:v>
      </x:c>
      <x:c r="D6" s="24" t="str">
        <x:v>Расход на событие, ₽</x:v>
      </x:c>
      <x:c r="E6" s="24" t="str">
        <x:v>Промо, ₽</x:v>
      </x:c>
      <x:c r="F6" s="24" t="str">
        <x:v>Учет</x:v>
      </x:c>
      <x:c r="G6" s="24"/>
      <x:c r="H6" s="24"/>
      <x:c r="I6" s="24"/>
      <x:c r="J6" s="24"/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58" customHeight="1">
      <x:c r="A7" s="30" t="str">
        <x:v>1</x:v>
      </x:c>
      <x:c r="B7" s="28" t="str">
        <x:v>Семейный квест + навык</x:v>
      </x:c>
      <x:c r="C7" s="28" t="str">
        <x:v>Сб 12:00 / Вс 16:00</x:v>
      </x:c>
      <x:c r="D7" s="28" t="n">
        <x:v>2846</x:v>
      </x:c>
      <x:c r="E7" s="28" t="n">
        <x:v>2400</x:v>
      </x:c>
      <x:c r="F7" s="28" t="str">
        <x:v>Включено во вход, не отдельная выручка</x:v>
      </x:c>
      <x:c r="G7" s="7"/>
      <x:c r="H7" s="7"/>
      <x:c r="I7" s="7"/>
      <x:c r="J7" s="7"/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58" customHeight="1">
      <x:c r="A8" s="30" t="str">
        <x:v>2</x:v>
      </x:c>
      <x:c r="B8" s="28" t="str">
        <x:v>Творческая мастерская</x:v>
      </x:c>
      <x:c r="C8" s="28" t="str">
        <x:v>Ср 17:00 / Сб 14:00</x:v>
      </x:c>
      <x:c r="D8" s="28" t="n">
        <x:v>1897</x:v>
      </x:c>
      <x:c r="E8" s="28" t="n">
        <x:v>1800</x:v>
      </x:c>
      <x:c r="F8" s="28" t="str">
        <x:v>Материалы в прямых расходах мастер-классов</x:v>
      </x:c>
      <x:c r="G8" s="7"/>
      <x:c r="H8" s="7"/>
      <x:c r="I8" s="7"/>
      <x:c r="J8" s="7"/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58" customHeight="1">
      <x:c r="A9" s="30" t="str">
        <x:v>3</x:v>
      </x:c>
      <x:c r="B9" s="28" t="str">
        <x:v>Световая семейная дискотека</x:v>
      </x:c>
      <x:c r="C9" s="28" t="str">
        <x:v>Пт 18:00</x:v>
      </x:c>
      <x:c r="D9" s="28" t="n">
        <x:v>3162</x:v>
      </x:c>
      <x:c r="E9" s="28" t="n">
        <x:v>2400</x:v>
      </x:c>
      <x:c r="F9" s="28" t="str">
        <x:v>Включено во вход</x:v>
      </x:c>
      <x:c r="G9" s="7"/>
      <x:c r="H9" s="7"/>
      <x:c r="I9" s="7"/>
      <x:c r="J9" s="7"/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58" customHeight="1">
      <x:c r="A10" s="30" t="str">
        <x:v>4</x:v>
      </x:c>
      <x:c r="B10" s="28" t="str">
        <x:v>Командный турнир / день рождения клуба</x:v>
      </x:c>
      <x:c r="C10" s="28" t="str">
        <x:v>Вс 15:00</x:v>
      </x:c>
      <x:c r="D10" s="28" t="n">
        <x:v>4743</x:v>
      </x:c>
      <x:c r="E10" s="28" t="n">
        <x:v>3000</x:v>
      </x:c>
      <x:c r="F10" s="28" t="str">
        <x:v>Неделя теста, призы без денежных выплат</x:v>
      </x:c>
      <x:c r="G10" s="7"/>
      <x:c r="H10" s="7"/>
      <x:c r="I10" s="7"/>
      <x:c r="J10" s="7"/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23" customHeight="1">
      <x:c r="A11" s="1"/>
      <x:c r="B11" s="7"/>
      <x:c r="C11" s="7"/>
      <x:c r="D11" s="7"/>
      <x:c r="E11" s="7"/>
      <x:c r="F11" s="7"/>
      <x:c r="G11" s="7"/>
      <x:c r="H11" s="7"/>
      <x:c r="I11" s="7"/>
      <x:c r="J11" s="7"/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23" customHeight="1">
      <x:c r="A12" s="1"/>
      <x:c r="B12" s="7"/>
      <x:c r="C12" s="7"/>
      <x:c r="D12" s="7"/>
      <x:c r="E12" s="7"/>
      <x:c r="F12" s="7"/>
      <x:c r="G12" s="7"/>
      <x:c r="H12" s="7"/>
      <x:c r="I12" s="7"/>
      <x:c r="J12" s="7"/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23" customHeight="1">
      <x:c r="A13" s="1"/>
      <x:c r="B13" s="7"/>
      <x:c r="C13" s="7"/>
      <x:c r="D13" s="7"/>
      <x:c r="E13" s="7"/>
      <x:c r="F13" s="7"/>
      <x:c r="G13" s="7"/>
      <x:c r="H13" s="7"/>
      <x:c r="I13" s="7"/>
      <x:c r="J13" s="7"/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23" customHeight="1">
      <x:c r="A14" s="1" t="str">
        <x:v>Правило бюджета</x:v>
      </x:c>
      <x:c r="B14" s="7"/>
      <x:c r="C14" s="7"/>
      <x:c r="D14" s="7"/>
      <x:c r="E14" s="7"/>
      <x:c r="F14" s="7"/>
      <x:c r="G14" s="7"/>
      <x:c r="H14" s="7"/>
      <x:c r="I14" s="7"/>
      <x:c r="J14" s="7"/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23" customHeight="1">
      <x:c r="A15" s="1" t="str">
        <x:v>Промо событий входит в текущую рекламу, а не прибавляется к ней повторно.</x:v>
      </x:c>
      <x:c r="B15" s="7"/>
      <x:c r="C15" s="7"/>
      <x:c r="D15" s="7"/>
      <x:c r="E15" s="7"/>
      <x:c r="F15" s="7"/>
      <x:c r="G15" s="7"/>
      <x:c r="H15" s="7"/>
      <x:c r="I15" s="7"/>
      <x:c r="J15" s="7"/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23" customHeight="1">
      <x:c r="A16" s="1" t="str">
        <x:v>Штатный ведущий входит в ФОТ; материалы и приглашенные артисты — в прямые затраты.</x:v>
      </x:c>
      <x:c r="B16" s="7"/>
      <x:c r="C16" s="7"/>
      <x:c r="D16" s="7"/>
      <x:c r="E16" s="7"/>
      <x:c r="F16" s="7"/>
      <x:c r="G16" s="7"/>
      <x:c r="H16" s="7"/>
      <x:c r="I16" s="7"/>
      <x:c r="J16" s="7"/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23" customHeight="1">
      <x:c r="A17" s="1" t="str">
        <x:v>100 м²: только два публичных блока в неделю; частный праздник занимает общую сцену.</x:v>
      </x:c>
      <x:c r="B17" s="7"/>
      <x:c r="C17" s="7"/>
      <x:c r="D17" s="7"/>
      <x:c r="E17" s="7"/>
      <x:c r="F17" s="7"/>
      <x:c r="G17" s="7"/>
      <x:c r="H17" s="7"/>
      <x:c r="I17" s="7"/>
      <x:c r="J17" s="7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 t="str">
        <x:v>После четырех недель оставлять форматы с повторными визитами и положительным вкладом.</x:v>
      </x:c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/>
      <x:c r="C24" s="7"/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/>
      <x:c r="C25" s="7"/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/>
      <x:c r="C26" s="7"/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/>
      <x:c r="B27" s="1"/>
      <x:c r="C27" s="7"/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/>
      <x:c r="B28" s="1"/>
      <x:c r="C28" s="7"/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/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/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/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/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/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/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7" hidden="0" customWidth="1"/>
    <x:col min="2" max="2" width="56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</x:cols>
  <x:sheetData>
    <x:row r="1" ht="23" customHeight="1">
      <x:c r="A1" s="3" t="str">
        <x:v>RR-FEC-250 | Аркады</x:v>
      </x:c>
      <x:c r="B1" s="3"/>
      <x:c r="C1" s="3"/>
      <x:c r="D1" s="3"/>
      <x:c r="E1" s="3"/>
      <x:c r="F1" s="3"/>
      <x:c r="G1" s="3"/>
      <x:c r="H1" s="3"/>
      <x:c r="I1" s="3"/>
      <x:c r="J1" s="3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</x:row>
    <x:row r="2" ht="23" customHeight="1">
      <x:c r="A2" s="3"/>
      <x:c r="B2" s="3"/>
      <x:c r="C2" s="3"/>
      <x:c r="D2" s="3"/>
      <x:c r="E2" s="3"/>
      <x:c r="F2" s="3"/>
      <x:c r="G2" s="3"/>
      <x:c r="H2" s="3"/>
      <x:c r="I2" s="3"/>
      <x:c r="J2" s="3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</x:row>
    <x:row r="3" ht="23" customHeight="1">
      <x:c r="A3" s="1" t="str">
        <x:v>Концепция • цены 24.10.2026 • все прогнозы — редактируемые допущения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</x:row>
    <x:row r="4" ht="23" customHeight="1">
      <x:c r="A4" s="1" t="str">
        <x:v>Сценарий:</x:v>
      </x:c>
      <x:c r="B4" s="1"/>
      <x:c r="C4" s="4" t="str">
        <x:f>'Допущения'!B6</x:f>
        <x:v>Целевая окупаемость</x:v>
      </x:c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</x:row>
    <x:row r="5" ht="23" customHeight="1">
      <x:c r="A5" s="1"/>
      <x:c r="B5" s="7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</x:row>
    <x:row r="6" ht="42" customHeight="1">
      <x:c r="A6" s="24" t="str">
        <x:v>Код</x:v>
      </x:c>
      <x:c r="B6" s="25" t="str">
        <x:v>Автомат</x:v>
      </x:c>
      <x:c r="C6" s="24" t="str">
        <x:v>Кол-во</x:v>
      </x:c>
      <x:c r="D6" s="24" t="str">
        <x:v>Платных игроков</x:v>
      </x:c>
      <x:c r="E6" s="24" t="str">
        <x:v>₽ / чел.</x:v>
      </x:c>
      <x:c r="F6" s="24" t="str">
        <x:v>Игра, мин</x:v>
      </x:c>
      <x:c r="G6" s="24" t="str">
        <x:v>Смена, мин</x:v>
      </x:c>
      <x:c r="H6" s="24" t="str">
        <x:v>Предел игрок-сеансов / мес</x:v>
      </x:c>
      <x:c r="I6" s="24" t="str">
        <x:v>Выручка при максимальной загрузке</x:v>
      </x:c>
      <x:c r="J6" s="24" t="str">
        <x:v>Доступность</x:v>
      </x:c>
      <x:c r="K6" s="24"/>
      <x:c r="L6" s="24"/>
      <x:c r="M6" s="24"/>
      <x:c r="N6" s="24"/>
      <x:c r="O6" s="24"/>
      <x:c r="P6" s="24"/>
      <x:c r="Q6" s="24"/>
      <x:c r="R6" s="1"/>
      <x:c r="S6" s="1"/>
      <x:c r="T6" s="1"/>
      <x:c r="U6" s="1"/>
      <x:c r="V6" s="1"/>
      <x:c r="W6" s="1"/>
    </x:row>
    <x:row r="7" ht="44" customHeight="1">
      <x:c r="A7" s="1" t="str">
        <x:v>A1</x:v>
      </x:c>
      <x:c r="B7" s="28" t="str">
        <x:v>Аркада «4 в ряд 2.0», базовая</x:v>
      </x:c>
      <x:c r="C7" s="29" t="n">
        <x:f>'Оборудование'!C14</x:f>
        <x:v>1</x:v>
      </x:c>
      <x:c r="D7" s="33" t="n">
        <x:v>1</x:v>
      </x:c>
      <x:c r="E7" s="29" t="n">
        <x:f>'Допущения'!$B$69</x:f>
        <x:v>70</x:v>
      </x:c>
      <x:c r="F7" s="29" t="n">
        <x:f>'Допущения'!$B$65</x:f>
        <x:v>3</x:v>
      </x:c>
      <x:c r="G7" s="29" t="n">
        <x:f>'Допущения'!$B$66</x:f>
        <x:v>1</x:v>
      </x:c>
      <x:c r="H7" s="29" t="n">
        <x:f>C7*D7*J7*60/(F7+G7)*'Допущения'!$B$16*'Допущения'!$B$18</x:f>
        <x:v>4702.5</x:v>
      </x:c>
      <x:c r="I7" s="28" t="n">
        <x:f>H7*E7</x:f>
        <x:v>329175</x:v>
      </x:c>
      <x:c r="J7" s="32" t="n">
        <x:f>'Допущения'!$B$70*1</x:f>
        <x:v>0.95</x:v>
      </x:c>
      <x:c r="K7" s="7"/>
      <x:c r="L7" s="7"/>
      <x:c r="M7" s="7"/>
      <x:c r="N7" s="7"/>
      <x:c r="O7" s="7"/>
      <x:c r="P7" s="7"/>
      <x:c r="Q7" s="7"/>
      <x:c r="R7" s="7"/>
      <x:c r="S7" s="7"/>
      <x:c r="T7" s="7"/>
      <x:c r="U7" s="7"/>
      <x:c r="V7" s="7"/>
      <x:c r="W7" s="7"/>
    </x:row>
    <x:row r="8" ht="44" customHeight="1">
      <x:c r="A8" s="1" t="str">
        <x:v>A2</x:v>
      </x:c>
      <x:c r="B8" s="28" t="str">
        <x:v>Retro Games «Комиксы»</x:v>
      </x:c>
      <x:c r="C8" s="29" t="n">
        <x:f>'Оборудование'!C15</x:f>
        <x:v>1</x:v>
      </x:c>
      <x:c r="D8" s="33" t="n">
        <x:v>1</x:v>
      </x:c>
      <x:c r="E8" s="29" t="n">
        <x:f>'Допущения'!$B$69</x:f>
        <x:v>70</x:v>
      </x:c>
      <x:c r="F8" s="29" t="n">
        <x:f>'Допущения'!$B$65</x:f>
        <x:v>3</x:v>
      </x:c>
      <x:c r="G8" s="29" t="n">
        <x:f>'Допущения'!$B$66</x:f>
        <x:v>1</x:v>
      </x:c>
      <x:c r="H8" s="29" t="n">
        <x:f>C8*D8*J8*60/(F8+G8)*'Допущения'!$B$16*'Допущения'!$B$18</x:f>
        <x:v>4702.5</x:v>
      </x:c>
      <x:c r="I8" s="28" t="n">
        <x:f>H8*E8</x:f>
        <x:v>329175</x:v>
      </x:c>
      <x:c r="J8" s="32" t="n">
        <x:f>'Допущения'!$B$70*1</x:f>
        <x:v>0.95</x:v>
      </x:c>
      <x:c r="K8" s="7"/>
      <x:c r="L8" s="7"/>
      <x:c r="M8" s="7"/>
      <x:c r="N8" s="7"/>
      <x:c r="O8" s="7"/>
      <x:c r="P8" s="7"/>
      <x:c r="Q8" s="7"/>
      <x:c r="R8" s="7"/>
      <x:c r="S8" s="7"/>
      <x:c r="T8" s="7"/>
      <x:c r="U8" s="7"/>
      <x:c r="V8" s="7"/>
      <x:c r="W8" s="7"/>
    </x:row>
    <x:row r="9" ht="44" customHeight="1">
      <x:c r="A9" s="1" t="str">
        <x:v>A6</x:v>
      </x:c>
      <x:c r="B9" s="28" t="str">
        <x:v>Сапер с подсветкой</x:v>
      </x:c>
      <x:c r="C9" s="29" t="n">
        <x:f>'Оборудование'!C16</x:f>
        <x:v>1</x:v>
      </x:c>
      <x:c r="D9" s="33" t="n">
        <x:v>1</x:v>
      </x:c>
      <x:c r="E9" s="29" t="n">
        <x:f>'Допущения'!$B$69</x:f>
        <x:v>70</x:v>
      </x:c>
      <x:c r="F9" s="29" t="n">
        <x:f>'Допущения'!$B$65</x:f>
        <x:v>3</x:v>
      </x:c>
      <x:c r="G9" s="29" t="n">
        <x:f>'Допущения'!$B$66</x:f>
        <x:v>1</x:v>
      </x:c>
      <x:c r="H9" s="29" t="n">
        <x:f>C9*D9*J9*60/(F9+G9)*'Допущения'!$B$16*'Допущения'!$B$18</x:f>
        <x:v>4702.5</x:v>
      </x:c>
      <x:c r="I9" s="28" t="n">
        <x:f>H9*E9</x:f>
        <x:v>329175</x:v>
      </x:c>
      <x:c r="J9" s="32" t="n">
        <x:f>'Допущения'!$B$70*1</x:f>
        <x:v>0.95</x:v>
      </x:c>
      <x:c r="K9" s="7"/>
      <x:c r="L9" s="7"/>
      <x:c r="M9" s="7"/>
      <x:c r="N9" s="7"/>
      <x:c r="O9" s="7"/>
      <x:c r="P9" s="7"/>
      <x:c r="Q9" s="7"/>
      <x:c r="R9" s="7"/>
      <x:c r="S9" s="7"/>
      <x:c r="T9" s="7"/>
      <x:c r="U9" s="7"/>
      <x:c r="V9" s="7"/>
      <x:c r="W9" s="7"/>
    </x:row>
    <x:row r="10" ht="44" customHeight="1">
      <x:c r="A10" s="1" t="str">
        <x:v>N1</x:v>
      </x:c>
      <x:c r="B10" s="28" t="str">
        <x:v>Детский игровой автомат колотушка «Миссис Хэппи»</x:v>
      </x:c>
      <x:c r="C10" s="29" t="n">
        <x:f>'Оборудование'!C17</x:f>
        <x:v>1</x:v>
      </x:c>
      <x:c r="D10" s="33" t="n">
        <x:v>1</x:v>
      </x:c>
      <x:c r="E10" s="29" t="n">
        <x:f>'Допущения'!$B$69</x:f>
        <x:v>70</x:v>
      </x:c>
      <x:c r="F10" s="29" t="n">
        <x:f>'Допущения'!$B$65</x:f>
        <x:v>3</x:v>
      </x:c>
      <x:c r="G10" s="29" t="n">
        <x:f>'Допущения'!$B$66</x:f>
        <x:v>1</x:v>
      </x:c>
      <x:c r="H10" s="29" t="n">
        <x:f>C10*D10*J10*60/(F10+G10)*'Допущения'!$B$16*'Допущения'!$B$18</x:f>
        <x:v>4702.5</x:v>
      </x:c>
      <x:c r="I10" s="28" t="n">
        <x:f>H10*E10</x:f>
        <x:v>329175</x:v>
      </x:c>
      <x:c r="J10" s="32" t="n">
        <x:f>'Допущения'!$B$70*1</x:f>
        <x:v>0.95</x:v>
      </x:c>
      <x:c r="K10" s="7"/>
      <x:c r="L10" s="7"/>
      <x:c r="M10" s="7"/>
      <x:c r="N10" s="7"/>
      <x:c r="O10" s="7"/>
      <x:c r="P10" s="7"/>
      <x:c r="Q10" s="7"/>
      <x:c r="R10" s="7"/>
      <x:c r="S10" s="7"/>
      <x:c r="T10" s="7"/>
      <x:c r="U10" s="7"/>
      <x:c r="V10" s="7"/>
      <x:c r="W10" s="7"/>
    </x:row>
    <x:row r="11" ht="44" customHeight="1">
      <x:c r="A11" s="1" t="str">
        <x:v>N2</x:v>
      </x:c>
      <x:c r="B11" s="28" t="str">
        <x:v>Детский автомат с видеоигрой 20 в 1 «Робот»</x:v>
      </x:c>
      <x:c r="C11" s="29" t="n">
        <x:f>'Оборудование'!C18</x:f>
        <x:v>1</x:v>
      </x:c>
      <x:c r="D11" s="33" t="n">
        <x:v>1</x:v>
      </x:c>
      <x:c r="E11" s="29" t="n">
        <x:f>'Допущения'!$B$69</x:f>
        <x:v>70</x:v>
      </x:c>
      <x:c r="F11" s="29" t="n">
        <x:f>'Допущения'!$B$65</x:f>
        <x:v>3</x:v>
      </x:c>
      <x:c r="G11" s="29" t="n">
        <x:f>'Допущения'!$B$66</x:f>
        <x:v>1</x:v>
      </x:c>
      <x:c r="H11" s="29" t="n">
        <x:f>C11*D11*J11*60/(F11+G11)*'Допущения'!$B$16*'Допущения'!$B$18</x:f>
        <x:v>4702.5</x:v>
      </x:c>
      <x:c r="I11" s="28" t="n">
        <x:f>H11*E11</x:f>
        <x:v>329175</x:v>
      </x:c>
      <x:c r="J11" s="32" t="n">
        <x:f>'Допущения'!$B$70*1</x:f>
        <x:v>0.95</x:v>
      </x:c>
      <x:c r="K11" s="7"/>
      <x:c r="L11" s="7"/>
      <x:c r="M11" s="7"/>
      <x:c r="N11" s="7"/>
      <x:c r="O11" s="7"/>
      <x:c r="P11" s="7"/>
      <x:c r="Q11" s="7"/>
      <x:c r="R11" s="7"/>
      <x:c r="S11" s="7"/>
      <x:c r="T11" s="7"/>
      <x:c r="U11" s="7"/>
      <x:c r="V11" s="7"/>
      <x:c r="W11" s="7"/>
    </x:row>
    <x:row r="12" ht="44" customHeight="1">
      <x:c r="A12" s="1" t="str">
        <x:v>N3</x:v>
      </x:c>
      <x:c r="B12" s="28" t="str">
        <x:v>Детский силомер боксер «Rocky Boxer» Junior</x:v>
      </x:c>
      <x:c r="C12" s="29" t="n">
        <x:f>'Оборудование'!C19</x:f>
        <x:v>1</x:v>
      </x:c>
      <x:c r="D12" s="33" t="n">
        <x:v>1</x:v>
      </x:c>
      <x:c r="E12" s="29" t="n">
        <x:f>'Допущения'!$B$69</x:f>
        <x:v>70</x:v>
      </x:c>
      <x:c r="F12" s="29" t="n">
        <x:f>'Допущения'!$B$65</x:f>
        <x:v>3</x:v>
      </x:c>
      <x:c r="G12" s="29" t="n">
        <x:f>'Допущения'!$B$66</x:f>
        <x:v>1</x:v>
      </x:c>
      <x:c r="H12" s="29" t="n">
        <x:f>C12*D12*J12*60/(F12+G12)*'Допущения'!$B$16*'Допущения'!$B$18</x:f>
        <x:v>4702.5</x:v>
      </x:c>
      <x:c r="I12" s="28" t="n">
        <x:f>H12*E12</x:f>
        <x:v>329175</x:v>
      </x:c>
      <x:c r="J12" s="32" t="n">
        <x:f>'Допущения'!$B$70*1</x:f>
        <x:v>0.95</x:v>
      </x:c>
      <x:c r="K12" s="7"/>
      <x:c r="L12" s="7"/>
      <x:c r="M12" s="7"/>
      <x:c r="N12" s="7"/>
      <x:c r="O12" s="7"/>
      <x:c r="P12" s="7"/>
      <x:c r="Q12" s="7"/>
      <x:c r="R12" s="7"/>
      <x:c r="S12" s="7"/>
      <x:c r="T12" s="7"/>
      <x:c r="U12" s="7"/>
      <x:c r="V12" s="7"/>
      <x:c r="W12" s="7"/>
    </x:row>
    <x:row r="13" ht="44" customHeight="1">
      <x:c r="A13" s="1" t="str">
        <x:v>N4</x:v>
      </x:c>
      <x:c r="B13" s="28" t="str">
        <x:v>Детский автомат гонка для двоих «Трансформер»</x:v>
      </x:c>
      <x:c r="C13" s="29" t="n">
        <x:f>'Оборудование'!C20</x:f>
        <x:v>1</x:v>
      </x:c>
      <x:c r="D13" s="33" t="n">
        <x:v>2</x:v>
      </x:c>
      <x:c r="E13" s="29" t="n">
        <x:f>'Допущения'!$B$69</x:f>
        <x:v>70</x:v>
      </x:c>
      <x:c r="F13" s="29" t="n">
        <x:f>'Допущения'!$B$65</x:f>
        <x:v>3</x:v>
      </x:c>
      <x:c r="G13" s="29" t="n">
        <x:f>'Допущения'!$B$66</x:f>
        <x:v>1</x:v>
      </x:c>
      <x:c r="H13" s="29" t="n">
        <x:f>C13*D13*J13*60/(F13+G13)*'Допущения'!$B$16*'Допущения'!$B$18</x:f>
        <x:v>9405</x:v>
      </x:c>
      <x:c r="I13" s="28" t="n">
        <x:f>H13*E13</x:f>
        <x:v>658350</x:v>
      </x:c>
      <x:c r="J13" s="32" t="n">
        <x:f>'Допущения'!$B$70*1</x:f>
        <x:v>0.95</x:v>
      </x:c>
      <x:c r="K13" s="7"/>
      <x:c r="L13" s="7"/>
      <x:c r="M13" s="7"/>
      <x:c r="N13" s="7"/>
      <x:c r="O13" s="7"/>
      <x:c r="P13" s="7"/>
      <x:c r="Q13" s="7"/>
      <x:c r="R13" s="7"/>
      <x:c r="S13" s="7"/>
      <x:c r="T13" s="7"/>
      <x:c r="U13" s="7"/>
      <x:c r="V13" s="7"/>
      <x:c r="W13" s="7"/>
    </x:row>
    <x:row r="14" ht="44" customHeight="1">
      <x:c r="A14" s="1" t="str">
        <x:v>N5</x:v>
      </x:c>
      <x:c r="B14" s="28" t="str">
        <x:v>Детский автомат стрелялка для двоих «Трансформер»</x:v>
      </x:c>
      <x:c r="C14" s="29" t="n">
        <x:f>'Оборудование'!C21</x:f>
        <x:v>1</x:v>
      </x:c>
      <x:c r="D14" s="33" t="n">
        <x:v>2</x:v>
      </x:c>
      <x:c r="E14" s="29" t="n">
        <x:f>'Допущения'!$B$69</x:f>
        <x:v>70</x:v>
      </x:c>
      <x:c r="F14" s="29" t="n">
        <x:f>'Допущения'!$B$65</x:f>
        <x:v>3</x:v>
      </x:c>
      <x:c r="G14" s="29" t="n">
        <x:f>'Допущения'!$B$66</x:f>
        <x:v>1</x:v>
      </x:c>
      <x:c r="H14" s="29" t="n">
        <x:f>C14*D14*J14*60/(F14+G14)*'Допущения'!$B$16*'Допущения'!$B$18</x:f>
        <x:v>9405</x:v>
      </x:c>
      <x:c r="I14" s="28" t="n">
        <x:f>H14*E14</x:f>
        <x:v>658350</x:v>
      </x:c>
      <x:c r="J14" s="32" t="n">
        <x:f>'Допущения'!$B$70*1</x:f>
        <x:v>0.95</x:v>
      </x:c>
      <x:c r="K14" s="7"/>
      <x:c r="L14" s="7"/>
      <x:c r="M14" s="7"/>
      <x:c r="N14" s="7"/>
      <x:c r="O14" s="7"/>
      <x:c r="P14" s="7"/>
      <x:c r="Q14" s="7"/>
      <x:c r="R14" s="7"/>
      <x:c r="S14" s="7"/>
      <x:c r="T14" s="7"/>
      <x:c r="U14" s="7"/>
      <x:c r="V14" s="7"/>
      <x:c r="W14" s="7"/>
    </x:row>
    <x:row r="15" ht="44" customHeight="1">
      <x:c r="A15" s="1" t="str">
        <x:v>N9</x:v>
      </x:c>
      <x:c r="B15" s="28" t="str">
        <x:v>Баскетбол «Energy»</x:v>
      </x:c>
      <x:c r="C15" s="29" t="n">
        <x:f>'Оборудование'!C22</x:f>
        <x:v>1</x:v>
      </x:c>
      <x:c r="D15" s="33" t="n">
        <x:v>1</x:v>
      </x:c>
      <x:c r="E15" s="29" t="n">
        <x:f>'Допущения'!$B$69</x:f>
        <x:v>70</x:v>
      </x:c>
      <x:c r="F15" s="29" t="n">
        <x:f>'Допущения'!$B$65</x:f>
        <x:v>3</x:v>
      </x:c>
      <x:c r="G15" s="29" t="n">
        <x:f>'Допущения'!$B$66</x:f>
        <x:v>1</x:v>
      </x:c>
      <x:c r="H15" s="29" t="n">
        <x:f>C15*D15*J15*60/(F15+G15)*'Допущения'!$B$16*'Допущения'!$B$18</x:f>
        <x:v>4702.5</x:v>
      </x:c>
      <x:c r="I15" s="28" t="n">
        <x:f>H15*E15</x:f>
        <x:v>329175</x:v>
      </x:c>
      <x:c r="J15" s="32" t="n">
        <x:f>'Допущения'!$B$70*1</x:f>
        <x:v>0.95</x:v>
      </x:c>
      <x:c r="K15" s="7"/>
      <x:c r="L15" s="7"/>
      <x:c r="M15" s="7"/>
      <x:c r="N15" s="7"/>
      <x:c r="O15" s="7"/>
      <x:c r="P15" s="7"/>
      <x:c r="Q15" s="7"/>
      <x:c r="R15" s="7"/>
      <x:c r="S15" s="7"/>
      <x:c r="T15" s="7"/>
      <x:c r="U15" s="7"/>
      <x:c r="V15" s="7"/>
      <x:c r="W15" s="7"/>
    </x:row>
    <x:row r="16" ht="44" customHeight="1">
      <x:c r="A16" s="1" t="str">
        <x:v>N10</x:v>
      </x:c>
      <x:c r="B16" s="28" t="str">
        <x:v>Аэрохоккей «Ледяная битва» (220 х 133 х 175 см)</x:v>
      </x:c>
      <x:c r="C16" s="29" t="n">
        <x:f>'Оборудование'!C23</x:f>
        <x:v>1</x:v>
      </x:c>
      <x:c r="D16" s="33" t="n">
        <x:v>2</x:v>
      </x:c>
      <x:c r="E16" s="29" t="n">
        <x:f>'Допущения'!$B$69</x:f>
        <x:v>70</x:v>
      </x:c>
      <x:c r="F16" s="29" t="n">
        <x:f>'Допущения'!$B$65</x:f>
        <x:v>3</x:v>
      </x:c>
      <x:c r="G16" s="29" t="n">
        <x:f>'Допущения'!$B$66</x:f>
        <x:v>1</x:v>
      </x:c>
      <x:c r="H16" s="29" t="n">
        <x:f>C16*D16*J16*60/(F16+G16)*'Допущения'!$B$16*'Допущения'!$B$18</x:f>
        <x:v>9405</x:v>
      </x:c>
      <x:c r="I16" s="28" t="n">
        <x:f>H16*E16</x:f>
        <x:v>658350</x:v>
      </x:c>
      <x:c r="J16" s="32" t="n">
        <x:f>'Допущения'!$B$70*1</x:f>
        <x:v>0.95</x:v>
      </x:c>
      <x:c r="K16" s="7"/>
      <x:c r="L16" s="7"/>
      <x:c r="M16" s="7"/>
      <x:c r="N16" s="7"/>
      <x:c r="O16" s="7"/>
      <x:c r="P16" s="7"/>
      <x:c r="Q16" s="7"/>
      <x:c r="R16" s="7"/>
      <x:c r="S16" s="7"/>
      <x:c r="T16" s="7"/>
      <x:c r="U16" s="7"/>
      <x:c r="V16" s="7"/>
      <x:c r="W16" s="7"/>
    </x:row>
    <x:row r="17" ht="44" customHeight="1">
      <x:c r="A17" s="1"/>
      <x:c r="B17" s="28" t="str">
        <x:v>ИТОГО</x:v>
      </x:c>
      <x:c r="C17" s="28" t="n">
        <x:f>SUM(C7:C16)</x:f>
        <x:v>10</x:v>
      </x:c>
      <x:c r="D17" s="28"/>
      <x:c r="E17" s="28"/>
      <x:c r="F17" s="28"/>
      <x:c r="G17" s="28"/>
      <x:c r="H17" s="28" t="n">
        <x:f>SUM(H7:H16)</x:f>
        <x:v>61132.5</x:v>
      </x:c>
      <x:c r="I17" s="28" t="n">
        <x:f>SUM(I7:I16)</x:f>
        <x:v>4279275</x:v>
      </x:c>
      <x:c r="J17" s="28"/>
      <x:c r="K17" s="7"/>
      <x:c r="L17" s="7"/>
      <x:c r="M17" s="7"/>
      <x:c r="N17" s="7"/>
      <x:c r="O17" s="7"/>
      <x:c r="P17" s="7"/>
      <x:c r="Q17" s="7"/>
      <x:c r="R17" s="7"/>
      <x:c r="S17" s="7"/>
      <x:c r="T17" s="7"/>
      <x:c r="U17" s="7"/>
      <x:c r="V17" s="7"/>
      <x:c r="W17" s="7"/>
    </x:row>
    <x:row r="18" ht="23" customHeight="1">
      <x:c r="A18" s="1"/>
      <x:c r="B18" s="7"/>
      <x:c r="C18" s="7"/>
      <x:c r="D18" s="7"/>
      <x:c r="E18" s="7"/>
      <x:c r="F18" s="7"/>
      <x:c r="G18" s="7"/>
      <x:c r="H18" s="7"/>
      <x:c r="I18" s="7"/>
      <x:c r="J18" s="7"/>
      <x:c r="K18" s="7"/>
      <x:c r="L18" s="7"/>
      <x:c r="M18" s="7"/>
      <x:c r="N18" s="7"/>
      <x:c r="O18" s="7"/>
      <x:c r="P18" s="7"/>
      <x:c r="Q18" s="7"/>
      <x:c r="R18" s="7"/>
      <x:c r="S18" s="7"/>
      <x:c r="T18" s="7"/>
      <x:c r="U18" s="7"/>
      <x:c r="V18" s="7"/>
      <x:c r="W18" s="7"/>
    </x:row>
    <x:row r="19" ht="23" customHeight="1">
      <x:c r="A19" s="1"/>
      <x:c r="B19" s="7"/>
      <x:c r="C19" s="7"/>
      <x:c r="D19" s="7"/>
      <x:c r="E19" s="7"/>
      <x:c r="F19" s="7"/>
      <x:c r="G19" s="7"/>
      <x:c r="H19" s="7"/>
      <x:c r="I19" s="7"/>
      <x:c r="J19" s="7"/>
      <x:c r="K19" s="7"/>
      <x:c r="L19" s="7"/>
      <x:c r="M19" s="7"/>
      <x:c r="N19" s="7"/>
      <x:c r="O19" s="7"/>
      <x:c r="P19" s="7"/>
      <x:c r="Q19" s="7"/>
      <x:c r="R19" s="7"/>
      <x:c r="S19" s="7"/>
      <x:c r="T19" s="7"/>
      <x:c r="U19" s="7"/>
      <x:c r="V19" s="7"/>
      <x:c r="W19" s="7"/>
    </x:row>
    <x:row r="20" ht="23" customHeight="1">
      <x:c r="A20" s="1"/>
      <x:c r="B20" s="7"/>
      <x:c r="C20" s="7"/>
      <x:c r="D20" s="7"/>
      <x:c r="E20" s="7"/>
      <x:c r="F20" s="7"/>
      <x:c r="G20" s="7"/>
      <x:c r="H20" s="7"/>
      <x:c r="I20" s="7"/>
      <x:c r="J20" s="7"/>
      <x:c r="K20" s="7"/>
      <x:c r="L20" s="7"/>
      <x:c r="M20" s="7"/>
      <x:c r="N20" s="7"/>
      <x:c r="O20" s="7"/>
      <x:c r="P20" s="7"/>
      <x:c r="Q20" s="7"/>
      <x:c r="R20" s="7"/>
      <x:c r="S20" s="7"/>
      <x:c r="T20" s="7"/>
      <x:c r="U20" s="7"/>
      <x:c r="V20" s="7"/>
      <x:c r="W20" s="7"/>
    </x:row>
    <x:row r="21" ht="23" customHeight="1">
      <x:c r="A21" s="1"/>
      <x:c r="B21" s="7"/>
      <x:c r="C21" s="7"/>
      <x:c r="D21" s="7"/>
      <x:c r="E21" s="7"/>
      <x:c r="F21" s="7"/>
      <x:c r="G21" s="7"/>
      <x:c r="H21" s="7"/>
      <x:c r="I21" s="7"/>
      <x:c r="J21" s="7"/>
      <x:c r="K21" s="7"/>
      <x:c r="L21" s="7"/>
      <x:c r="M21" s="7"/>
      <x:c r="N21" s="7"/>
      <x:c r="O21" s="7"/>
      <x:c r="P21" s="7"/>
      <x:c r="Q21" s="7"/>
      <x:c r="R21" s="7"/>
      <x:c r="S21" s="7"/>
      <x:c r="T21" s="7"/>
      <x:c r="U21" s="7"/>
      <x:c r="V21" s="7"/>
      <x:c r="W21" s="7"/>
    </x:row>
    <x:row r="22" ht="23" customHeight="1">
      <x:c r="A22" s="1"/>
      <x:c r="B22" s="7"/>
      <x:c r="C22" s="7"/>
      <x:c r="D22" s="7"/>
      <x:c r="E22" s="7"/>
      <x:c r="F22" s="7"/>
      <x:c r="G22" s="7"/>
      <x:c r="H22" s="7"/>
      <x:c r="I22" s="7"/>
      <x:c r="J22" s="7"/>
      <x:c r="K22" s="7"/>
      <x:c r="L22" s="7"/>
      <x:c r="M22" s="7"/>
      <x:c r="N22" s="7"/>
      <x:c r="O22" s="7"/>
      <x:c r="P22" s="7"/>
      <x:c r="Q22" s="7"/>
      <x:c r="R22" s="7"/>
      <x:c r="S22" s="7"/>
      <x:c r="T22" s="7"/>
      <x:c r="U22" s="7"/>
      <x:c r="V22" s="7"/>
      <x:c r="W22" s="7"/>
    </x:row>
    <x:row r="23" ht="23" customHeight="1">
      <x:c r="A23" s="1"/>
      <x:c r="B23" s="7"/>
      <x:c r="C23" s="7"/>
      <x:c r="D23" s="7"/>
      <x:c r="E23" s="7"/>
      <x:c r="F23" s="7"/>
      <x:c r="G23" s="7"/>
      <x:c r="H23" s="7"/>
      <x:c r="I23" s="7"/>
      <x:c r="J23" s="7"/>
      <x:c r="K23" s="7"/>
      <x:c r="L23" s="7"/>
      <x:c r="M23" s="7"/>
      <x:c r="N23" s="7"/>
      <x:c r="O23" s="7"/>
      <x:c r="P23" s="7"/>
      <x:c r="Q23" s="7"/>
      <x:c r="R23" s="7"/>
      <x:c r="S23" s="7"/>
      <x:c r="T23" s="7"/>
      <x:c r="U23" s="7"/>
      <x:c r="V23" s="7"/>
      <x:c r="W23" s="7"/>
    </x:row>
    <x:row r="24" ht="23" customHeight="1">
      <x:c r="A24" s="1"/>
      <x:c r="B24" s="7" t="str">
        <x:v>Продано платных игрок-сеансов / месяц</x:v>
      </x:c>
      <x:c r="C24" s="9" t="n">
        <x:f>'Зоны'!C9</x:f>
        <x:v>5148.36</x:v>
      </x:c>
      <x:c r="D24" s="7"/>
      <x:c r="E24" s="7"/>
      <x:c r="F24" s="7"/>
      <x:c r="G24" s="7"/>
      <x:c r="H24" s="7"/>
      <x:c r="I24" s="7"/>
      <x:c r="J24" s="7"/>
      <x:c r="K24" s="7"/>
      <x:c r="L24" s="7"/>
      <x:c r="M24" s="7"/>
      <x:c r="N24" s="7"/>
      <x:c r="O24" s="7"/>
      <x:c r="P24" s="7"/>
      <x:c r="Q24" s="7"/>
      <x:c r="R24" s="7"/>
      <x:c r="S24" s="7"/>
      <x:c r="T24" s="7"/>
      <x:c r="U24" s="7"/>
      <x:c r="V24" s="7"/>
      <x:c r="W24" s="7"/>
    </x:row>
    <x:row r="25" ht="23" customHeight="1">
      <x:c r="A25" s="1"/>
      <x:c r="B25" s="1" t="str">
        <x:v>Выручка аркад / месяц, ₽</x:v>
      </x:c>
      <x:c r="C25" s="9" t="n">
        <x:f>'Зоны'!E9</x:f>
        <x:v>360385.19999999995</x:v>
      </x:c>
      <x:c r="D25" s="7"/>
      <x:c r="E25" s="7"/>
      <x:c r="F25" s="7"/>
      <x:c r="G25" s="7"/>
      <x:c r="H25" s="7"/>
      <x:c r="I25" s="7"/>
      <x:c r="J25" s="7"/>
      <x:c r="K25" s="7"/>
      <x:c r="L25" s="7"/>
      <x:c r="M25" s="7"/>
      <x:c r="N25" s="7"/>
      <x:c r="O25" s="7"/>
      <x:c r="P25" s="7"/>
      <x:c r="Q25" s="7"/>
      <x:c r="R25" s="7"/>
      <x:c r="S25" s="7"/>
      <x:c r="T25" s="7"/>
      <x:c r="U25" s="7"/>
      <x:c r="V25" s="7"/>
      <x:c r="W25" s="7"/>
    </x:row>
    <x:row r="26" ht="23" customHeight="1">
      <x:c r="A26" s="1"/>
      <x:c r="B26" s="1" t="str">
        <x:v>Предельная пропускная способность</x:v>
      </x:c>
      <x:c r="C26" s="7" t="n">
        <x:f>H17</x:f>
        <x:v>61132.5</x:v>
      </x:c>
      <x:c r="D26" s="7"/>
      <x:c r="E26" s="7"/>
      <x:c r="F26" s="7"/>
      <x:c r="G26" s="7"/>
      <x:c r="H26" s="7"/>
      <x:c r="I26" s="7"/>
      <x:c r="J26" s="7"/>
      <x:c r="K26" s="7"/>
      <x:c r="L26" s="7"/>
      <x:c r="M26" s="7"/>
      <x:c r="N26" s="7"/>
      <x:c r="O26" s="7"/>
      <x:c r="P26" s="7"/>
      <x:c r="Q26" s="7"/>
      <x:c r="R26" s="7"/>
      <x:c r="S26" s="7"/>
      <x:c r="T26" s="7"/>
      <x:c r="U26" s="7"/>
      <x:c r="V26" s="7"/>
      <x:c r="W26" s="7"/>
    </x:row>
    <x:row r="27" ht="23" customHeight="1">
      <x:c r="A27" s="1"/>
      <x:c r="B27" s="1" t="str">
        <x:v>Загрузка относительно предела</x:v>
      </x:c>
      <x:c r="C27" s="20" t="n">
        <x:f>C24/C26</x:f>
        <x:v>0.08421641516378357</x:v>
      </x:c>
      <x:c r="D27" s="7"/>
      <x:c r="E27" s="7"/>
      <x:c r="F27" s="7"/>
      <x:c r="G27" s="7"/>
      <x:c r="H27" s="7"/>
      <x:c r="I27" s="7"/>
      <x:c r="J27" s="7"/>
      <x:c r="K27" s="7"/>
      <x:c r="L27" s="7"/>
      <x:c r="M27" s="7"/>
      <x:c r="N27" s="7"/>
      <x:c r="O27" s="7"/>
      <x:c r="P27" s="7"/>
      <x:c r="Q27" s="7"/>
      <x:c r="R27" s="7"/>
      <x:c r="S27" s="7"/>
      <x:c r="T27" s="7"/>
      <x:c r="U27" s="7"/>
      <x:c r="V27" s="7"/>
      <x:c r="W27" s="7"/>
    </x:row>
    <x:row r="28" ht="23" customHeight="1">
      <x:c r="A28" s="1"/>
      <x:c r="B28" s="1" t="str">
        <x:v>Платных игрок-сеансов на детский вход</x:v>
      </x:c>
      <x:c r="C28" s="17" t="n">
        <x:f>'Допущения'!B67*'Допущения'!B68</x:f>
        <x:v>1.8</x:v>
      </x:c>
      <x:c r="D28" s="7"/>
      <x:c r="E28" s="7"/>
      <x:c r="F28" s="7"/>
      <x:c r="G28" s="7"/>
      <x:c r="H28" s="7"/>
      <x:c r="I28" s="7"/>
      <x:c r="J28" s="7"/>
      <x:c r="K28" s="7"/>
      <x:c r="L28" s="7"/>
      <x:c r="M28" s="7"/>
      <x:c r="N28" s="7"/>
      <x:c r="O28" s="7"/>
      <x:c r="P28" s="7"/>
      <x:c r="Q28" s="7"/>
      <x:c r="R28" s="7"/>
      <x:c r="S28" s="7"/>
      <x:c r="T28" s="7"/>
      <x:c r="U28" s="7"/>
      <x:c r="V28" s="7"/>
      <x:c r="W28" s="7"/>
    </x:row>
    <x:row r="29" ht="23" customHeight="1">
      <x:c r="A29" s="1"/>
      <x:c r="B29" s="1"/>
      <x:c r="C29" s="7"/>
      <x:c r="D29" s="7"/>
      <x:c r="E29" s="7"/>
      <x:c r="F29" s="7"/>
      <x:c r="G29" s="7"/>
      <x:c r="H29" s="7"/>
      <x:c r="I29" s="7"/>
      <x:c r="J29" s="7"/>
      <x:c r="K29" s="7"/>
      <x:c r="L29" s="7"/>
      <x:c r="M29" s="7"/>
      <x:c r="N29" s="7"/>
      <x:c r="O29" s="7"/>
      <x:c r="P29" s="7"/>
      <x:c r="Q29" s="7"/>
      <x:c r="R29" s="7"/>
      <x:c r="S29" s="7"/>
      <x:c r="T29" s="7"/>
      <x:c r="U29" s="7"/>
      <x:c r="V29" s="7"/>
      <x:c r="W29" s="7"/>
    </x:row>
    <x:row r="30" ht="23" customHeight="1">
      <x:c r="A30" s="1"/>
      <x:c r="B30" s="1"/>
      <x:c r="C30" s="7"/>
      <x:c r="D30" s="7"/>
      <x:c r="E30" s="7"/>
      <x:c r="F30" s="7"/>
      <x:c r="G30" s="7"/>
      <x:c r="H30" s="7"/>
      <x:c r="I30" s="7"/>
      <x:c r="J30" s="7"/>
      <x:c r="K30" s="7"/>
      <x:c r="L30" s="7"/>
      <x:c r="M30" s="7"/>
      <x:c r="N30" s="7"/>
      <x:c r="O30" s="7"/>
      <x:c r="P30" s="7"/>
      <x:c r="Q30" s="7"/>
      <x:c r="R30" s="7"/>
      <x:c r="S30" s="7"/>
      <x:c r="T30" s="7"/>
      <x:c r="U30" s="7"/>
      <x:c r="V30" s="7"/>
      <x:c r="W30" s="7"/>
    </x:row>
    <x:row r="31" ht="23" customHeight="1">
      <x:c r="A31" s="1"/>
      <x:c r="B31" s="1" t="str">
        <x:v>Цена и длительность заданы владельцем как средняя модель: 70 ₽ на человека за 3 минуты.</x:v>
      </x:c>
      <x:c r="C31" s="7"/>
      <x:c r="D31" s="7"/>
      <x:c r="E31" s="7"/>
      <x:c r="F31" s="7"/>
      <x:c r="G31" s="7"/>
      <x:c r="H31" s="7"/>
      <x:c r="I31" s="7"/>
      <x:c r="J31" s="7"/>
      <x:c r="K31" s="7"/>
      <x:c r="L31" s="7"/>
      <x:c r="M31" s="7"/>
      <x:c r="N31" s="7"/>
      <x:c r="O31" s="7"/>
      <x:c r="P31" s="7"/>
      <x:c r="Q31" s="7"/>
      <x:c r="R31" s="7"/>
      <x:c r="S31" s="7"/>
      <x:c r="T31" s="7"/>
      <x:c r="U31" s="7"/>
      <x:c r="V31" s="7"/>
      <x:c r="W31" s="7"/>
    </x:row>
    <x:row r="32" ht="23" customHeight="1">
      <x:c r="A32" s="1"/>
      <x:c r="B32" s="1" t="str">
        <x:v>Два платных игрока в одном сеансе = 140 ₽, а не ещё две продажи поверх этого.</x:v>
      </x:c>
      <x:c r="C32" s="7"/>
      <x:c r="D32" s="7"/>
      <x:c r="E32" s="7"/>
      <x:c r="F32" s="7"/>
      <x:c r="G32" s="7"/>
      <x:c r="H32" s="7"/>
      <x:c r="I32" s="7"/>
      <x:c r="J32" s="7"/>
      <x:c r="K32" s="7"/>
      <x:c r="L32" s="7"/>
      <x:c r="M32" s="7"/>
      <x:c r="N32" s="7"/>
      <x:c r="O32" s="7"/>
      <x:c r="P32" s="7"/>
      <x:c r="Q32" s="7"/>
      <x:c r="R32" s="7"/>
      <x:c r="S32" s="7"/>
      <x:c r="T32" s="7"/>
      <x:c r="U32" s="7"/>
      <x:c r="V32" s="7"/>
      <x:c r="W32" s="7"/>
    </x:row>
    <x:row r="33" ht="23" customHeight="1">
      <x:c r="A33" s="1"/>
      <x:c r="B33" s="1" t="str">
        <x:v>Предельная выручка не является прогнозом: продажи задаются спросом и покупкой игровых сеансов.</x:v>
      </x:c>
      <x:c r="C33" s="7"/>
      <x:c r="D33" s="7"/>
      <x:c r="E33" s="7"/>
      <x:c r="F33" s="7"/>
      <x:c r="G33" s="7"/>
      <x:c r="H33" s="7"/>
      <x:c r="I33" s="7"/>
      <x:c r="J33" s="7"/>
      <x:c r="K33" s="7"/>
      <x:c r="L33" s="7"/>
      <x:c r="M33" s="7"/>
      <x:c r="N33" s="7"/>
      <x:c r="O33" s="7"/>
      <x:c r="P33" s="7"/>
      <x:c r="Q33" s="7"/>
      <x:c r="R33" s="7"/>
      <x:c r="S33" s="7"/>
      <x:c r="T33" s="7"/>
      <x:c r="U33" s="7"/>
      <x:c r="V33" s="7"/>
      <x:c r="W33" s="7"/>
    </x:row>
    <x:row r="34" ht="23" customHeight="1">
      <x:c r="A34" s="1"/>
      <x:c r="B34" s="1" t="str">
        <x:v>Одна минута на смену игроков заложена дополнительно. В 100 м² Сапёр доступен половину времени.</x:v>
      </x:c>
      <x:c r="C34" s="7"/>
      <x:c r="D34" s="7"/>
      <x:c r="E34" s="7"/>
      <x:c r="F34" s="7"/>
      <x:c r="G34" s="7"/>
      <x:c r="H34" s="7"/>
      <x:c r="I34" s="7"/>
      <x:c r="J34" s="7"/>
      <x:c r="K34" s="7"/>
      <x:c r="L34" s="7"/>
      <x:c r="M34" s="7"/>
      <x:c r="N34" s="7"/>
      <x:c r="O34" s="7"/>
      <x:c r="P34" s="7"/>
      <x:c r="Q34" s="7"/>
      <x:c r="R34" s="7"/>
      <x:c r="S34" s="7"/>
      <x:c r="T34" s="7"/>
      <x:c r="U34" s="7"/>
      <x:c r="V34" s="7"/>
      <x:c r="W34" s="7"/>
    </x:row>
    <x:row r="35" ht="23" customHeight="1">
      <x:c r="A35" s="1"/>
      <x:c r="B35" s="1" t="str">
        <x:v>Не все аппараты имеют опубликованную настройку длительности. Подтвердить тариф и режим изготовителем.</x:v>
      </x:c>
      <x:c r="C35" s="7"/>
      <x:c r="D35" s="7"/>
      <x:c r="E35" s="7"/>
      <x:c r="F35" s="7"/>
      <x:c r="G35" s="7"/>
      <x:c r="H35" s="7"/>
      <x:c r="I35" s="7"/>
      <x:c r="J35" s="7"/>
      <x:c r="K35" s="7"/>
      <x:c r="L35" s="7"/>
      <x:c r="M35" s="7"/>
      <x:c r="N35" s="7"/>
      <x:c r="O35" s="7"/>
      <x:c r="P35" s="7"/>
      <x:c r="Q35" s="7"/>
      <x:c r="R35" s="7"/>
      <x:c r="S35" s="7"/>
      <x:c r="T35" s="7"/>
      <x:c r="U35" s="7"/>
      <x:c r="V35" s="7"/>
      <x:c r="W35" s="7"/>
    </x:row>
    <x:row r="36" ht="23" customHeight="1">
      <x:c r="A36" s="1"/>
      <x:c r="B36" s="1" t="str">
        <x:v>Призы и расходники: 20% выручки без НДС в прямых затратах аркад; сервис — отдельный fixed.</x:v>
      </x:c>
      <x:c r="C36" s="7"/>
      <x:c r="D36" s="7"/>
      <x:c r="E36" s="7"/>
      <x:c r="F36" s="7"/>
      <x:c r="G36" s="7"/>
      <x:c r="H36" s="7"/>
      <x:c r="I36" s="7"/>
      <x:c r="J36" s="7"/>
      <x:c r="K36" s="7"/>
      <x:c r="L36" s="7"/>
      <x:c r="M36" s="7"/>
      <x:c r="N36" s="7"/>
      <x:c r="O36" s="7"/>
      <x:c r="P36" s="7"/>
      <x:c r="Q36" s="7"/>
      <x:c r="R36" s="7"/>
      <x:c r="S36" s="7"/>
      <x:c r="T36" s="7"/>
      <x:c r="U36" s="7"/>
      <x:c r="V36" s="7"/>
      <x:c r="W36" s="7"/>
    </x:row>
    <x:row r="37" ht="23" customHeight="1">
      <x:c r="A37" s="1"/>
      <x:c r="B37" s="1"/>
      <x:c r="C37" s="7"/>
      <x:c r="D37" s="7"/>
      <x:c r="E37" s="7"/>
      <x:c r="F37" s="7"/>
      <x:c r="G37" s="7"/>
      <x:c r="H37" s="7"/>
      <x:c r="I37" s="7"/>
      <x:c r="J37" s="7"/>
      <x:c r="K37" s="7"/>
      <x:c r="L37" s="7"/>
      <x:c r="M37" s="7"/>
      <x:c r="N37" s="7"/>
      <x:c r="O37" s="7"/>
      <x:c r="P37" s="7"/>
      <x:c r="Q37" s="7"/>
      <x:c r="R37" s="7"/>
      <x:c r="S37" s="7"/>
      <x:c r="T37" s="7"/>
      <x:c r="U37" s="7"/>
      <x:c r="V37" s="7"/>
      <x:c r="W37" s="7"/>
    </x:row>
    <x:row r="38" ht="23" customHeight="1">
      <x:c r="A38" s="1"/>
      <x:c r="B38" s="1"/>
      <x:c r="C38" s="7"/>
      <x:c r="D38" s="7"/>
      <x:c r="E38" s="7"/>
      <x:c r="F38" s="7"/>
      <x:c r="G38" s="7"/>
      <x:c r="H38" s="7"/>
      <x:c r="I38" s="7"/>
      <x:c r="J38" s="7"/>
      <x:c r="K38" s="7"/>
      <x:c r="L38" s="7"/>
      <x:c r="M38" s="7"/>
      <x:c r="N38" s="7"/>
      <x:c r="O38" s="7"/>
      <x:c r="P38" s="7"/>
      <x:c r="Q38" s="7"/>
      <x:c r="R38" s="7"/>
      <x:c r="S38" s="7"/>
      <x:c r="T38" s="7"/>
      <x:c r="U38" s="7"/>
      <x:c r="V38" s="7"/>
      <x:c r="W38" s="7"/>
    </x:row>
    <x:row r="39" ht="23" customHeight="1">
      <x:c r="A39" s="1"/>
      <x:c r="B39" s="1"/>
      <x:c r="C39" s="7"/>
      <x:c r="D39" s="7"/>
      <x:c r="E39" s="7"/>
      <x:c r="F39" s="7"/>
      <x:c r="G39" s="7"/>
      <x:c r="H39" s="7"/>
      <x:c r="I39" s="7"/>
      <x:c r="J39" s="7"/>
      <x:c r="K39" s="7"/>
      <x:c r="L39" s="7"/>
      <x:c r="M39" s="7"/>
      <x:c r="N39" s="7"/>
      <x:c r="O39" s="7"/>
      <x:c r="P39" s="7"/>
      <x:c r="Q39" s="7"/>
      <x:c r="R39" s="7"/>
      <x:c r="S39" s="7"/>
      <x:c r="T39" s="7"/>
      <x:c r="U39" s="7"/>
      <x:c r="V39" s="7"/>
      <x:c r="W39" s="7"/>
    </x:row>
    <x:row r="40" ht="23" customHeight="1">
      <x:c r="A40" s="1"/>
      <x:c r="B40" s="1"/>
      <x:c r="C40" s="7"/>
      <x:c r="D40" s="7"/>
      <x:c r="E40" s="7"/>
      <x:c r="F40" s="7"/>
      <x:c r="G40" s="7"/>
      <x:c r="H40" s="7"/>
      <x:c r="I40" s="7"/>
      <x:c r="J40" s="7"/>
      <x:c r="K40" s="7"/>
      <x:c r="L40" s="7"/>
      <x:c r="M40" s="7"/>
      <x:c r="N40" s="7"/>
      <x:c r="O40" s="7"/>
      <x:c r="P40" s="7"/>
      <x:c r="Q40" s="7"/>
      <x:c r="R40" s="7"/>
      <x:c r="S40" s="7"/>
      <x:c r="T40" s="7"/>
      <x:c r="U40" s="7"/>
      <x:c r="V40" s="7"/>
      <x:c r="W40" s="7"/>
    </x:row>
    <x:row r="41" ht="23" customHeight="1">
      <x:c r="A41" s="1"/>
      <x:c r="B41" s="1"/>
      <x:c r="C41" s="7"/>
      <x:c r="D41" s="7"/>
      <x:c r="E41" s="7"/>
      <x:c r="F41" s="7"/>
      <x:c r="G41" s="7"/>
      <x:c r="H41" s="7"/>
      <x:c r="I41" s="7"/>
      <x:c r="J41" s="7"/>
      <x:c r="K41" s="7"/>
      <x:c r="L41" s="7"/>
      <x:c r="M41" s="7"/>
      <x:c r="N41" s="7"/>
      <x:c r="O41" s="7"/>
      <x:c r="P41" s="7"/>
      <x:c r="Q41" s="7"/>
      <x:c r="R41" s="7"/>
      <x:c r="S41" s="7"/>
      <x:c r="T41" s="7"/>
      <x:c r="U41" s="7"/>
      <x:c r="V41" s="7"/>
      <x:c r="W41" s="7"/>
    </x:row>
    <x:row r="42" ht="23" customHeight="1">
      <x:c r="A42" s="1"/>
      <x:c r="B42" s="1"/>
      <x:c r="C42" s="7"/>
      <x:c r="D42" s="7"/>
      <x:c r="E42" s="7"/>
      <x:c r="F42" s="7"/>
      <x:c r="G42" s="7"/>
      <x:c r="H42" s="7"/>
      <x:c r="I42" s="7"/>
      <x:c r="J42" s="7"/>
      <x:c r="K42" s="7"/>
      <x:c r="L42" s="7"/>
      <x:c r="M42" s="7"/>
      <x:c r="N42" s="7"/>
      <x:c r="O42" s="7"/>
      <x:c r="P42" s="7"/>
      <x:c r="Q42" s="7"/>
      <x:c r="R42" s="7"/>
      <x:c r="S42" s="7"/>
      <x:c r="T42" s="7"/>
      <x:c r="U42" s="7"/>
      <x:c r="V42" s="7"/>
      <x:c r="W42" s="7"/>
    </x:row>
    <x:row r="43" ht="23" customHeight="1">
      <x:c r="A43" s="1"/>
      <x:c r="B43" s="1"/>
      <x:c r="C43" s="7"/>
      <x:c r="D43" s="7"/>
      <x:c r="E43" s="7"/>
      <x:c r="F43" s="7"/>
      <x:c r="G43" s="7"/>
      <x:c r="H43" s="7"/>
      <x:c r="I43" s="7"/>
      <x:c r="J43" s="7"/>
      <x:c r="K43" s="7"/>
      <x:c r="L43" s="7"/>
      <x:c r="M43" s="7"/>
      <x:c r="N43" s="7"/>
      <x:c r="O43" s="7"/>
      <x:c r="P43" s="7"/>
      <x:c r="Q43" s="7"/>
      <x:c r="R43" s="7"/>
      <x:c r="S43" s="7"/>
      <x:c r="T43" s="7"/>
      <x:c r="U43" s="7"/>
      <x:c r="V43" s="7"/>
      <x:c r="W43" s="7"/>
    </x:row>
    <x:row r="44" ht="23" customHeight="1">
      <x:c r="A44" s="1"/>
      <x:c r="B44" s="1"/>
      <x:c r="C44" s="7"/>
      <x:c r="D44" s="7"/>
      <x:c r="E44" s="7"/>
      <x:c r="F44" s="7"/>
      <x:c r="G44" s="7"/>
      <x:c r="H44" s="7"/>
      <x:c r="I44" s="7"/>
      <x:c r="J44" s="7"/>
      <x:c r="K44" s="7"/>
      <x:c r="L44" s="7"/>
      <x:c r="M44" s="7"/>
      <x:c r="N44" s="7"/>
      <x:c r="O44" s="7"/>
      <x:c r="P44" s="7"/>
      <x:c r="Q44" s="7"/>
      <x:c r="R44" s="7"/>
      <x:c r="S44" s="7"/>
      <x:c r="T44" s="7"/>
      <x:c r="U44" s="7"/>
      <x:c r="V44" s="7"/>
      <x:c r="W44" s="7"/>
    </x:row>
    <x:row r="45" ht="23" customHeight="1">
      <x:c r="A45" s="1"/>
      <x:c r="B45" s="1"/>
      <x:c r="C45" s="7"/>
      <x:c r="D45" s="7"/>
      <x:c r="E45" s="7"/>
      <x:c r="F45" s="7"/>
      <x:c r="G45" s="7"/>
      <x:c r="H45" s="7"/>
      <x:c r="I45" s="7"/>
      <x:c r="J45" s="7"/>
      <x:c r="K45" s="7"/>
      <x:c r="L45" s="7"/>
      <x:c r="M45" s="7"/>
      <x:c r="N45" s="7"/>
      <x:c r="O45" s="7"/>
      <x:c r="P45" s="7"/>
      <x:c r="Q45" s="7"/>
      <x:c r="R45" s="7"/>
      <x:c r="S45" s="7"/>
      <x:c r="T45" s="7"/>
      <x:c r="U45" s="7"/>
      <x:c r="V45" s="7"/>
      <x:c r="W45" s="7"/>
    </x:row>
    <x:row r="46" ht="23" customHeight="1">
      <x:c r="A46" s="1"/>
      <x:c r="B46" s="1"/>
      <x:c r="C46" s="7"/>
      <x:c r="D46" s="7"/>
      <x:c r="E46" s="7"/>
      <x:c r="F46" s="7"/>
      <x:c r="G46" s="7"/>
      <x:c r="H46" s="7"/>
      <x:c r="I46" s="7"/>
      <x:c r="J46" s="7"/>
      <x:c r="K46" s="7"/>
      <x:c r="L46" s="7"/>
      <x:c r="M46" s="7"/>
      <x:c r="N46" s="7"/>
      <x:c r="O46" s="7"/>
      <x:c r="P46" s="7"/>
      <x:c r="Q46" s="7"/>
      <x:c r="R46" s="7"/>
      <x:c r="S46" s="7"/>
      <x:c r="T46" s="7"/>
      <x:c r="U46" s="7"/>
      <x:c r="V46" s="7"/>
      <x:c r="W46" s="7"/>
    </x:row>
    <x:row r="47" ht="23" customHeight="1">
      <x:c r="A47" s="1"/>
      <x:c r="B47" s="1"/>
      <x:c r="C47" s="7"/>
      <x:c r="D47" s="7"/>
      <x:c r="E47" s="7"/>
      <x:c r="F47" s="7"/>
      <x:c r="G47" s="7"/>
      <x:c r="H47" s="7"/>
      <x:c r="I47" s="7"/>
      <x:c r="J47" s="7"/>
      <x:c r="K47" s="7"/>
      <x:c r="L47" s="7"/>
      <x:c r="M47" s="7"/>
      <x:c r="N47" s="7"/>
      <x:c r="O47" s="7"/>
      <x:c r="P47" s="7"/>
      <x:c r="Q47" s="7"/>
      <x:c r="R47" s="7"/>
      <x:c r="S47" s="7"/>
      <x:c r="T47" s="7"/>
      <x:c r="U47" s="7"/>
      <x:c r="V47" s="7"/>
      <x:c r="W47" s="7"/>
    </x:row>
    <x:row r="48" ht="23" customHeight="1">
      <x:c r="A48" s="1"/>
      <x:c r="B48" s="1"/>
      <x:c r="C48" s="7"/>
      <x:c r="D48" s="7"/>
      <x:c r="E48" s="7"/>
      <x:c r="F48" s="7"/>
      <x:c r="G48" s="7"/>
      <x:c r="H48" s="7"/>
      <x:c r="I48" s="7"/>
      <x:c r="J48" s="7"/>
      <x:c r="K48" s="7"/>
      <x:c r="L48" s="7"/>
      <x:c r="M48" s="7"/>
      <x:c r="N48" s="7"/>
      <x:c r="O48" s="7"/>
      <x:c r="P48" s="7"/>
      <x:c r="Q48" s="7"/>
      <x:c r="R48" s="7"/>
      <x:c r="S48" s="7"/>
      <x:c r="T48" s="7"/>
      <x:c r="U48" s="7"/>
      <x:c r="V48" s="7"/>
      <x:c r="W48" s="7"/>
    </x:row>
    <x:row r="49" ht="23" customHeight="1">
      <x:c r="A49" s="1"/>
      <x:c r="B49" s="1"/>
      <x:c r="C49" s="7"/>
      <x:c r="D49" s="7"/>
      <x:c r="E49" s="7"/>
      <x:c r="F49" s="7"/>
      <x:c r="G49" s="7"/>
      <x:c r="H49" s="7"/>
      <x:c r="I49" s="7"/>
      <x:c r="J49" s="7"/>
      <x:c r="K49" s="7"/>
      <x:c r="L49" s="7"/>
      <x:c r="M49" s="7"/>
      <x:c r="N49" s="7"/>
      <x:c r="O49" s="7"/>
      <x:c r="P49" s="7"/>
      <x:c r="Q49" s="7"/>
      <x:c r="R49" s="7"/>
      <x:c r="S49" s="7"/>
      <x:c r="T49" s="7"/>
      <x:c r="U49" s="7"/>
      <x:c r="V49" s="7"/>
      <x:c r="W49" s="7"/>
    </x:row>
    <x:row r="50" ht="23" customHeight="1">
      <x:c r="A50" s="1"/>
      <x:c r="B50" s="1"/>
      <x:c r="C50" s="7"/>
      <x:c r="D50" s="7"/>
      <x:c r="E50" s="7"/>
      <x:c r="F50" s="7"/>
      <x:c r="G50" s="7"/>
      <x:c r="H50" s="7"/>
      <x:c r="I50" s="7"/>
      <x:c r="J50" s="7"/>
      <x:c r="K50" s="7"/>
      <x:c r="L50" s="7"/>
      <x:c r="M50" s="7"/>
      <x:c r="N50" s="7"/>
      <x:c r="O50" s="7"/>
      <x:c r="P50" s="7"/>
      <x:c r="Q50" s="7"/>
      <x:c r="R50" s="7"/>
      <x:c r="S50" s="7"/>
      <x:c r="T50" s="7"/>
      <x:c r="U50" s="7"/>
      <x:c r="V50" s="7"/>
      <x:c r="W50" s="7"/>
    </x:row>
    <x:row r="51" ht="23" customHeight="1">
      <x:c r="A51" s="1"/>
      <x:c r="B51" s="1"/>
      <x:c r="C51" s="7"/>
      <x:c r="D51" s="7"/>
      <x:c r="E51" s="7"/>
      <x:c r="F51" s="7"/>
      <x:c r="G51" s="7"/>
      <x:c r="H51" s="7"/>
      <x:c r="I51" s="7"/>
      <x:c r="J51" s="7"/>
      <x:c r="K51" s="7"/>
      <x:c r="L51" s="7"/>
      <x:c r="M51" s="7"/>
      <x:c r="N51" s="7"/>
      <x:c r="O51" s="7"/>
      <x:c r="P51" s="7"/>
      <x:c r="Q51" s="7"/>
      <x:c r="R51" s="7"/>
      <x:c r="S51" s="7"/>
      <x:c r="T51" s="7"/>
      <x:c r="U51" s="7"/>
      <x:c r="V51" s="7"/>
      <x:c r="W51" s="7"/>
    </x:row>
    <x:row r="52" ht="23" customHeight="1">
      <x:c r="A52" s="1"/>
      <x:c r="B52" s="1"/>
      <x:c r="C52" s="7"/>
      <x:c r="D52" s="7"/>
      <x:c r="E52" s="7"/>
      <x:c r="F52" s="7"/>
      <x:c r="G52" s="7"/>
      <x:c r="H52" s="7"/>
      <x:c r="I52" s="7"/>
      <x:c r="J52" s="7"/>
      <x:c r="K52" s="7"/>
      <x:c r="L52" s="7"/>
      <x:c r="M52" s="7"/>
      <x:c r="N52" s="7"/>
      <x:c r="O52" s="7"/>
      <x:c r="P52" s="7"/>
      <x:c r="Q52" s="7"/>
      <x:c r="R52" s="7"/>
      <x:c r="S52" s="7"/>
      <x:c r="T52" s="7"/>
      <x:c r="U52" s="7"/>
      <x:c r="V52" s="7"/>
      <x:c r="W52" s="7"/>
    </x:row>
    <x:row r="53" ht="23" customHeight="1">
      <x:c r="A53" s="1"/>
      <x:c r="B53" s="1"/>
      <x:c r="C53" s="7"/>
      <x:c r="D53" s="7"/>
      <x:c r="E53" s="7"/>
      <x:c r="F53" s="7"/>
      <x:c r="G53" s="7"/>
      <x:c r="H53" s="7"/>
      <x:c r="I53" s="7"/>
      <x:c r="J53" s="7"/>
      <x:c r="K53" s="7"/>
      <x:c r="L53" s="7"/>
      <x:c r="M53" s="7"/>
      <x:c r="N53" s="7"/>
      <x:c r="O53" s="7"/>
      <x:c r="P53" s="7"/>
      <x:c r="Q53" s="7"/>
      <x:c r="R53" s="7"/>
      <x:c r="S53" s="7"/>
      <x:c r="T53" s="7"/>
      <x:c r="U53" s="7"/>
      <x:c r="V53" s="7"/>
      <x:c r="W53" s="7"/>
    </x:row>
    <x:row r="54" ht="23" customHeight="1">
      <x:c r="A54" s="1"/>
      <x:c r="B54" s="1"/>
      <x:c r="C54" s="7"/>
      <x:c r="D54" s="7"/>
      <x:c r="E54" s="7"/>
      <x:c r="F54" s="7"/>
      <x:c r="G54" s="7"/>
      <x:c r="H54" s="7"/>
      <x:c r="I54" s="7"/>
      <x:c r="J54" s="7"/>
      <x:c r="K54" s="7"/>
      <x:c r="L54" s="7"/>
      <x:c r="M54" s="7"/>
      <x:c r="N54" s="7"/>
      <x:c r="O54" s="7"/>
      <x:c r="P54" s="7"/>
      <x:c r="Q54" s="7"/>
      <x:c r="R54" s="7"/>
      <x:c r="S54" s="7"/>
      <x:c r="T54" s="7"/>
      <x:c r="U54" s="7"/>
      <x:c r="V54" s="7"/>
      <x:c r="W54" s="7"/>
    </x:row>
    <x:row r="55" ht="23" customHeight="1">
      <x:c r="A55" s="1"/>
      <x:c r="B55" s="1"/>
      <x:c r="C55" s="7"/>
      <x:c r="D55" s="7"/>
      <x:c r="E55" s="7"/>
      <x:c r="F55" s="7"/>
      <x:c r="G55" s="7"/>
      <x:c r="H55" s="7"/>
      <x:c r="I55" s="7"/>
      <x:c r="J55" s="7"/>
      <x:c r="K55" s="7"/>
      <x:c r="L55" s="7"/>
      <x:c r="M55" s="7"/>
      <x:c r="N55" s="7"/>
      <x:c r="O55" s="7"/>
      <x:c r="P55" s="7"/>
      <x:c r="Q55" s="7"/>
      <x:c r="R55" s="7"/>
      <x:c r="S55" s="7"/>
      <x:c r="T55" s="7"/>
      <x:c r="U55" s="7"/>
      <x:c r="V55" s="7"/>
      <x:c r="W55" s="7"/>
    </x:row>
    <x:row r="56" ht="23" customHeight="1">
      <x:c r="A56" s="1"/>
      <x:c r="B56" s="1"/>
      <x:c r="C56" s="7"/>
      <x:c r="D56" s="7"/>
      <x:c r="E56" s="7"/>
      <x:c r="F56" s="7"/>
      <x:c r="G56" s="7"/>
      <x:c r="H56" s="7"/>
      <x:c r="I56" s="7"/>
      <x:c r="J56" s="7"/>
      <x:c r="K56" s="7"/>
      <x:c r="L56" s="7"/>
      <x:c r="M56" s="7"/>
      <x:c r="N56" s="7"/>
      <x:c r="O56" s="7"/>
      <x:c r="P56" s="7"/>
      <x:c r="Q56" s="7"/>
      <x:c r="R56" s="7"/>
      <x:c r="S56" s="7"/>
      <x:c r="T56" s="7"/>
      <x:c r="U56" s="7"/>
      <x:c r="V56" s="7"/>
      <x:c r="W56" s="7"/>
    </x:row>
    <x:row r="57" ht="23" customHeight="1">
      <x:c r="A57" s="1"/>
      <x:c r="B57" s="1"/>
      <x:c r="C57" s="7"/>
      <x:c r="D57" s="7"/>
      <x:c r="E57" s="7"/>
      <x:c r="F57" s="7"/>
      <x:c r="G57" s="7"/>
      <x:c r="H57" s="7"/>
      <x:c r="I57" s="7"/>
      <x:c r="J57" s="7"/>
      <x:c r="K57" s="7"/>
      <x:c r="L57" s="7"/>
      <x:c r="M57" s="7"/>
      <x:c r="N57" s="7"/>
      <x:c r="O57" s="7"/>
      <x:c r="P57" s="7"/>
      <x:c r="Q57" s="7"/>
      <x:c r="R57" s="7"/>
      <x:c r="S57" s="7"/>
      <x:c r="T57" s="7"/>
      <x:c r="U57" s="7"/>
      <x:c r="V57" s="7"/>
      <x:c r="W57" s="7"/>
    </x:row>
    <x:row r="58" ht="23" customHeight="1">
      <x:c r="A58" s="1"/>
      <x:c r="B58" s="1"/>
      <x:c r="C58" s="7"/>
      <x:c r="D58" s="7"/>
      <x:c r="E58" s="7"/>
      <x:c r="F58" s="7"/>
      <x:c r="G58" s="7"/>
      <x:c r="H58" s="7"/>
      <x:c r="I58" s="7"/>
      <x:c r="J58" s="7"/>
      <x:c r="K58" s="7"/>
      <x:c r="L58" s="7"/>
      <x:c r="M58" s="7"/>
      <x:c r="N58" s="7"/>
      <x:c r="O58" s="7"/>
      <x:c r="P58" s="7"/>
      <x:c r="Q58" s="7"/>
      <x:c r="R58" s="7"/>
      <x:c r="S58" s="7"/>
      <x:c r="T58" s="7"/>
      <x:c r="U58" s="7"/>
      <x:c r="V58" s="7"/>
      <x:c r="W58" s="7"/>
    </x:row>
    <x:row r="59" ht="23" customHeight="1">
      <x:c r="A59" s="1"/>
      <x:c r="B59" s="1"/>
      <x:c r="C59" s="7"/>
      <x:c r="D59" s="7"/>
      <x:c r="E59" s="7"/>
      <x:c r="F59" s="7"/>
      <x:c r="G59" s="7"/>
      <x:c r="H59" s="7"/>
      <x:c r="I59" s="7"/>
      <x:c r="J59" s="7"/>
      <x:c r="K59" s="7"/>
      <x:c r="L59" s="7"/>
      <x:c r="M59" s="7"/>
      <x:c r="N59" s="7"/>
      <x:c r="O59" s="7"/>
      <x:c r="P59" s="7"/>
      <x:c r="Q59" s="7"/>
      <x:c r="R59" s="7"/>
      <x:c r="S59" s="7"/>
      <x:c r="T59" s="7"/>
      <x:c r="U59" s="7"/>
      <x:c r="V59" s="7"/>
      <x:c r="W59" s="7"/>
    </x:row>
    <x:row r="60" ht="23" customHeight="1">
      <x:c r="A60" s="1"/>
      <x:c r="B60" s="1"/>
      <x:c r="C60" s="7"/>
      <x:c r="D60" s="7"/>
      <x:c r="E60" s="7"/>
      <x:c r="F60" s="7"/>
      <x:c r="G60" s="7"/>
      <x:c r="H60" s="7"/>
      <x:c r="I60" s="7"/>
      <x:c r="J60" s="7"/>
      <x:c r="K60" s="7"/>
      <x:c r="L60" s="7"/>
      <x:c r="M60" s="7"/>
      <x:c r="N60" s="7"/>
      <x:c r="O60" s="7"/>
      <x:c r="P60" s="7"/>
      <x:c r="Q60" s="7"/>
      <x:c r="R60" s="7"/>
      <x:c r="S60" s="7"/>
      <x:c r="T60" s="7"/>
      <x:c r="U60" s="7"/>
      <x:c r="V60" s="7"/>
      <x:c r="W60" s="7"/>
    </x:row>
    <x:row r="61" ht="23" customHeight="1">
      <x:c r="A61" s="1"/>
      <x:c r="B61" s="1"/>
      <x:c r="C61" s="7"/>
      <x:c r="D61" s="7"/>
      <x:c r="E61" s="7"/>
      <x:c r="F61" s="7"/>
      <x:c r="G61" s="7"/>
      <x:c r="H61" s="7"/>
      <x:c r="I61" s="7"/>
      <x:c r="J61" s="7"/>
      <x:c r="K61" s="7"/>
      <x:c r="L61" s="7"/>
      <x:c r="M61" s="7"/>
      <x:c r="N61" s="7"/>
      <x:c r="O61" s="7"/>
      <x:c r="P61" s="7"/>
      <x:c r="Q61" s="7"/>
      <x:c r="R61" s="7"/>
      <x:c r="S61" s="7"/>
      <x:c r="T61" s="7"/>
      <x:c r="U61" s="7"/>
      <x:c r="V61" s="7"/>
      <x:c r="W61" s="7"/>
    </x:row>
    <x:row r="62" ht="23" customHeight="1">
      <x:c r="A62" s="1"/>
      <x:c r="B62" s="1"/>
      <x:c r="C62" s="7"/>
      <x:c r="D62" s="7"/>
      <x:c r="E62" s="7"/>
      <x:c r="F62" s="7"/>
      <x:c r="G62" s="7"/>
      <x:c r="H62" s="7"/>
      <x:c r="I62" s="7"/>
      <x:c r="J62" s="7"/>
      <x:c r="K62" s="7"/>
      <x:c r="L62" s="7"/>
      <x:c r="M62" s="7"/>
      <x:c r="N62" s="7"/>
      <x:c r="O62" s="7"/>
      <x:c r="P62" s="7"/>
      <x:c r="Q62" s="7"/>
      <x:c r="R62" s="7"/>
      <x:c r="S62" s="7"/>
      <x:c r="T62" s="7"/>
      <x:c r="U62" s="7"/>
      <x:c r="V62" s="7"/>
      <x:c r="W62" s="7"/>
    </x:row>
    <x:row r="63" ht="23" customHeight="1">
      <x:c r="A63" s="1"/>
      <x:c r="B63" s="1"/>
      <x:c r="C63" s="7"/>
      <x:c r="D63" s="7"/>
      <x:c r="E63" s="7"/>
      <x:c r="F63" s="7"/>
      <x:c r="G63" s="7"/>
      <x:c r="H63" s="7"/>
      <x:c r="I63" s="7"/>
      <x:c r="J63" s="7"/>
      <x:c r="K63" s="7"/>
      <x:c r="L63" s="7"/>
      <x:c r="M63" s="7"/>
      <x:c r="N63" s="7"/>
      <x:c r="O63" s="7"/>
      <x:c r="P63" s="7"/>
      <x:c r="Q63" s="7"/>
      <x:c r="R63" s="7"/>
      <x:c r="S63" s="7"/>
      <x:c r="T63" s="7"/>
      <x:c r="U63" s="7"/>
      <x:c r="V63" s="7"/>
      <x:c r="W63" s="7"/>
    </x:row>
    <x:row r="64" ht="23" customHeight="1">
      <x:c r="A64" s="1"/>
      <x:c r="B64" s="1"/>
      <x:c r="C64" s="7"/>
      <x:c r="D64" s="7"/>
      <x:c r="E64" s="7"/>
      <x:c r="F64" s="7"/>
      <x:c r="G64" s="7"/>
      <x:c r="H64" s="7"/>
      <x:c r="I64" s="7"/>
      <x:c r="J64" s="7"/>
      <x:c r="K64" s="7"/>
      <x:c r="L64" s="7"/>
      <x:c r="M64" s="7"/>
      <x:c r="N64" s="7"/>
      <x:c r="O64" s="7"/>
      <x:c r="P64" s="7"/>
      <x:c r="Q64" s="7"/>
      <x:c r="R64" s="7"/>
      <x:c r="S64" s="7"/>
      <x:c r="T64" s="7"/>
      <x:c r="U64" s="7"/>
      <x:c r="V64" s="7"/>
      <x:c r="W64" s="7"/>
    </x:row>
    <x:row r="65" ht="23" customHeight="1">
      <x:c r="A65" s="1"/>
      <x:c r="B65" s="1"/>
      <x:c r="C65" s="7"/>
      <x:c r="D65" s="7"/>
      <x:c r="E65" s="7"/>
      <x:c r="F65" s="7"/>
      <x:c r="G65" s="7"/>
      <x:c r="H65" s="7"/>
      <x:c r="I65" s="7"/>
      <x:c r="J65" s="7"/>
      <x:c r="K65" s="7"/>
      <x:c r="L65" s="7"/>
      <x:c r="M65" s="7"/>
      <x:c r="N65" s="7"/>
      <x:c r="O65" s="7"/>
      <x:c r="P65" s="7"/>
      <x:c r="Q65" s="7"/>
      <x:c r="R65" s="7"/>
      <x:c r="S65" s="7"/>
      <x:c r="T65" s="7"/>
      <x:c r="U65" s="7"/>
      <x:c r="V65" s="7"/>
      <x:c r="W65" s="7"/>
    </x:row>
    <x:row r="66" ht="23" customHeight="1">
      <x:c r="A66" s="1"/>
      <x:c r="B66" s="1"/>
      <x:c r="C66" s="7"/>
      <x:c r="D66" s="7"/>
      <x:c r="E66" s="7"/>
      <x:c r="F66" s="7"/>
      <x:c r="G66" s="7"/>
      <x:c r="H66" s="7"/>
      <x:c r="I66" s="7"/>
      <x:c r="J66" s="7"/>
      <x:c r="K66" s="7"/>
      <x:c r="L66" s="7"/>
      <x:c r="M66" s="7"/>
      <x:c r="N66" s="7"/>
      <x:c r="O66" s="7"/>
      <x:c r="P66" s="7"/>
      <x:c r="Q66" s="7"/>
      <x:c r="R66" s="7"/>
      <x:c r="S66" s="7"/>
      <x:c r="T66" s="7"/>
      <x:c r="U66" s="7"/>
      <x:c r="V66" s="7"/>
      <x:c r="W66" s="7"/>
    </x:row>
    <x:row r="67" ht="23" customHeight="1">
      <x:c r="A67" s="1"/>
      <x:c r="B67" s="1"/>
      <x:c r="C67" s="7"/>
      <x:c r="D67" s="7"/>
      <x:c r="E67" s="7"/>
      <x:c r="F67" s="7"/>
      <x:c r="G67" s="7"/>
      <x:c r="H67" s="7"/>
      <x:c r="I67" s="7"/>
      <x:c r="J67" s="7"/>
      <x:c r="K67" s="7"/>
      <x:c r="L67" s="7"/>
      <x:c r="M67" s="7"/>
      <x:c r="N67" s="7"/>
      <x:c r="O67" s="7"/>
      <x:c r="P67" s="7"/>
      <x:c r="Q67" s="7"/>
      <x:c r="R67" s="7"/>
      <x:c r="S67" s="7"/>
      <x:c r="T67" s="7"/>
      <x:c r="U67" s="7"/>
      <x:c r="V67" s="7"/>
      <x:c r="W67" s="7"/>
    </x:row>
    <x:row r="68" ht="23" customHeight="1">
      <x:c r="A68" s="1"/>
      <x:c r="B68" s="1"/>
      <x:c r="C68" s="7"/>
      <x:c r="D68" s="7"/>
      <x:c r="E68" s="7"/>
      <x:c r="F68" s="7"/>
      <x:c r="G68" s="7"/>
      <x:c r="H68" s="7"/>
      <x:c r="I68" s="7"/>
      <x:c r="J68" s="7"/>
      <x:c r="K68" s="7"/>
      <x:c r="L68" s="7"/>
      <x:c r="M68" s="7"/>
      <x:c r="N68" s="7"/>
      <x:c r="O68" s="7"/>
      <x:c r="P68" s="7"/>
      <x:c r="Q68" s="7"/>
      <x:c r="R68" s="7"/>
      <x:c r="S68" s="7"/>
      <x:c r="T68" s="7"/>
      <x:c r="U68" s="7"/>
      <x:c r="V68" s="7"/>
      <x:c r="W68" s="7"/>
    </x:row>
    <x:row r="69" ht="23" customHeight="1">
      <x:c r="A69" s="1"/>
      <x:c r="B69" s="1"/>
      <x:c r="C69" s="7"/>
      <x:c r="D69" s="7"/>
      <x:c r="E69" s="7"/>
      <x:c r="F69" s="7"/>
      <x:c r="G69" s="7"/>
      <x:c r="H69" s="7"/>
      <x:c r="I69" s="7"/>
      <x:c r="J69" s="7"/>
      <x:c r="K69" s="7"/>
      <x:c r="L69" s="7"/>
      <x:c r="M69" s="7"/>
      <x:c r="N69" s="7"/>
      <x:c r="O69" s="7"/>
      <x:c r="P69" s="7"/>
      <x:c r="Q69" s="7"/>
      <x:c r="R69" s="7"/>
      <x:c r="S69" s="7"/>
      <x:c r="T69" s="7"/>
      <x:c r="U69" s="7"/>
      <x:c r="V69" s="7"/>
      <x:c r="W69" s="7"/>
    </x:row>
    <x:row r="70" ht="23" customHeight="1">
      <x:c r="A70" s="1"/>
      <x:c r="B70" s="1"/>
      <x:c r="C70" s="7"/>
      <x:c r="D70" s="7"/>
      <x:c r="E70" s="7"/>
      <x:c r="F70" s="7"/>
      <x:c r="G70" s="7"/>
      <x:c r="H70" s="7"/>
      <x:c r="I70" s="7"/>
      <x:c r="J70" s="7"/>
      <x:c r="K70" s="7"/>
      <x:c r="L70" s="7"/>
      <x:c r="M70" s="7"/>
      <x:c r="N70" s="7"/>
      <x:c r="O70" s="7"/>
      <x:c r="P70" s="7"/>
      <x:c r="Q70" s="7"/>
      <x:c r="R70" s="7"/>
      <x:c r="S70" s="7"/>
      <x:c r="T70" s="7"/>
      <x:c r="U70" s="7"/>
      <x:c r="V70" s="7"/>
      <x:c r="W70" s="7"/>
    </x:row>
    <x:row r="71" ht="23" customHeight="1">
      <x:c r="A71" s="1"/>
      <x:c r="B71" s="1"/>
      <x:c r="C71" s="7"/>
      <x:c r="D71" s="7"/>
      <x:c r="E71" s="7"/>
      <x:c r="F71" s="7"/>
      <x:c r="G71" s="7"/>
      <x:c r="H71" s="7"/>
      <x:c r="I71" s="7"/>
      <x:c r="J71" s="7"/>
      <x:c r="K71" s="7"/>
      <x:c r="L71" s="7"/>
      <x:c r="M71" s="7"/>
      <x:c r="N71" s="7"/>
      <x:c r="O71" s="7"/>
      <x:c r="P71" s="7"/>
      <x:c r="Q71" s="7"/>
      <x:c r="R71" s="7"/>
      <x:c r="S71" s="7"/>
      <x:c r="T71" s="7"/>
      <x:c r="U71" s="7"/>
      <x:c r="V71" s="7"/>
      <x:c r="W71" s="7"/>
    </x:row>
    <x:row r="72" ht="23" customHeight="1">
      <x:c r="A72" s="1"/>
      <x:c r="B72" s="1"/>
      <x:c r="C72" s="7"/>
      <x:c r="D72" s="7"/>
      <x:c r="E72" s="7"/>
      <x:c r="F72" s="7"/>
      <x:c r="G72" s="7"/>
      <x:c r="H72" s="7"/>
      <x:c r="I72" s="7"/>
      <x:c r="J72" s="7"/>
      <x:c r="K72" s="7"/>
      <x:c r="L72" s="7"/>
      <x:c r="M72" s="7"/>
      <x:c r="N72" s="7"/>
      <x:c r="O72" s="7"/>
      <x:c r="P72" s="7"/>
      <x:c r="Q72" s="7"/>
      <x:c r="R72" s="7"/>
      <x:c r="S72" s="7"/>
      <x:c r="T72" s="7"/>
      <x:c r="U72" s="7"/>
      <x:c r="V72" s="7"/>
      <x:c r="W72" s="7"/>
    </x:row>
    <x:row r="73" ht="23" customHeight="1">
      <x:c r="A73" s="1"/>
      <x:c r="B73" s="1"/>
      <x:c r="C73" s="7"/>
      <x:c r="D73" s="7"/>
      <x:c r="E73" s="7"/>
      <x:c r="F73" s="7"/>
      <x:c r="G73" s="7"/>
      <x:c r="H73" s="7"/>
      <x:c r="I73" s="7"/>
      <x:c r="J73" s="7"/>
      <x:c r="K73" s="7"/>
      <x:c r="L73" s="7"/>
      <x:c r="M73" s="7"/>
      <x:c r="N73" s="7"/>
      <x:c r="O73" s="7"/>
      <x:c r="P73" s="7"/>
      <x:c r="Q73" s="7"/>
      <x:c r="R73" s="7"/>
      <x:c r="S73" s="7"/>
      <x:c r="T73" s="7"/>
      <x:c r="U73" s="7"/>
      <x:c r="V73" s="7"/>
      <x:c r="W73" s="7"/>
    </x:row>
    <x:row r="74" ht="23" customHeight="1">
      <x:c r="A74" s="1"/>
      <x:c r="B74" s="1"/>
      <x:c r="C74" s="7"/>
      <x:c r="D74" s="7"/>
      <x:c r="E74" s="7"/>
      <x:c r="F74" s="7"/>
      <x:c r="G74" s="7"/>
      <x:c r="H74" s="7"/>
      <x:c r="I74" s="7"/>
      <x:c r="J74" s="7"/>
      <x:c r="K74" s="7"/>
      <x:c r="L74" s="7"/>
      <x:c r="M74" s="7"/>
      <x:c r="N74" s="7"/>
      <x:c r="O74" s="7"/>
      <x:c r="P74" s="7"/>
      <x:c r="Q74" s="7"/>
      <x:c r="R74" s="7"/>
      <x:c r="S74" s="7"/>
      <x:c r="T74" s="7"/>
      <x:c r="U74" s="7"/>
      <x:c r="V74" s="7"/>
      <x:c r="W74" s="7"/>
    </x:row>
    <x:row r="75" ht="23" customHeight="1">
      <x:c r="A75" s="1"/>
      <x:c r="B75" s="1"/>
      <x:c r="C75" s="7"/>
      <x:c r="D75" s="7"/>
      <x:c r="E75" s="7"/>
      <x:c r="F75" s="7"/>
      <x:c r="G75" s="7"/>
      <x:c r="H75" s="7"/>
      <x:c r="I75" s="7"/>
      <x:c r="J75" s="7"/>
      <x:c r="K75" s="7"/>
      <x:c r="L75" s="7"/>
      <x:c r="M75" s="7"/>
      <x:c r="N75" s="7"/>
      <x:c r="O75" s="7"/>
      <x:c r="P75" s="7"/>
      <x:c r="Q75" s="7"/>
      <x:c r="R75" s="7"/>
      <x:c r="S75" s="7"/>
      <x:c r="T75" s="7"/>
      <x:c r="U75" s="7"/>
      <x:c r="V75" s="7"/>
      <x:c r="W75" s="7"/>
    </x:row>
    <x:row r="76" ht="23" customHeight="1">
      <x:c r="A76" s="1"/>
      <x:c r="B76" s="1"/>
      <x:c r="C76" s="7"/>
      <x:c r="D76" s="7"/>
      <x:c r="E76" s="7"/>
      <x:c r="F76" s="7"/>
      <x:c r="G76" s="7"/>
      <x:c r="H76" s="7"/>
      <x:c r="I76" s="7"/>
      <x:c r="J76" s="7"/>
      <x:c r="K76" s="7"/>
      <x:c r="L76" s="7"/>
      <x:c r="M76" s="7"/>
      <x:c r="N76" s="7"/>
      <x:c r="O76" s="7"/>
      <x:c r="P76" s="7"/>
      <x:c r="Q76" s="7"/>
      <x:c r="R76" s="7"/>
      <x:c r="S76" s="7"/>
      <x:c r="T76" s="7"/>
      <x:c r="U76" s="7"/>
      <x:c r="V76" s="7"/>
      <x:c r="W76" s="7"/>
    </x:row>
    <x:row r="77" ht="23" customHeight="1">
      <x:c r="A77" s="1"/>
      <x:c r="B77" s="1"/>
      <x:c r="C77" s="7"/>
      <x:c r="D77" s="7"/>
      <x:c r="E77" s="7"/>
      <x:c r="F77" s="7"/>
      <x:c r="G77" s="7"/>
      <x:c r="H77" s="7"/>
      <x:c r="I77" s="7"/>
      <x:c r="J77" s="7"/>
      <x:c r="K77" s="7"/>
      <x:c r="L77" s="7"/>
      <x:c r="M77" s="7"/>
      <x:c r="N77" s="7"/>
      <x:c r="O77" s="7"/>
      <x:c r="P77" s="7"/>
      <x:c r="Q77" s="7"/>
      <x:c r="R77" s="7"/>
      <x:c r="S77" s="7"/>
      <x:c r="T77" s="7"/>
      <x:c r="U77" s="7"/>
      <x:c r="V77" s="7"/>
      <x:c r="W77" s="7"/>
    </x:row>
    <x:row r="78" ht="23" customHeight="1">
      <x:c r="A78" s="1"/>
      <x:c r="B78" s="1"/>
      <x:c r="C78" s="7"/>
      <x:c r="D78" s="7"/>
      <x:c r="E78" s="7"/>
      <x:c r="F78" s="7"/>
      <x:c r="G78" s="7"/>
      <x:c r="H78" s="7"/>
      <x:c r="I78" s="7"/>
      <x:c r="J78" s="7"/>
      <x:c r="K78" s="7"/>
      <x:c r="L78" s="7"/>
      <x:c r="M78" s="7"/>
      <x:c r="N78" s="7"/>
      <x:c r="O78" s="7"/>
      <x:c r="P78" s="7"/>
      <x:c r="Q78" s="7"/>
      <x:c r="R78" s="7"/>
      <x:c r="S78" s="7"/>
      <x:c r="T78" s="7"/>
      <x:c r="U78" s="7"/>
      <x:c r="V78" s="7"/>
      <x:c r="W78" s="7"/>
    </x:row>
    <x:row r="79" ht="23" customHeight="1">
      <x:c r="A79" s="1"/>
      <x:c r="B79" s="1"/>
      <x:c r="C79" s="7"/>
      <x:c r="D79" s="7"/>
      <x:c r="E79" s="7"/>
      <x:c r="F79" s="7"/>
      <x:c r="G79" s="7"/>
      <x:c r="H79" s="7"/>
      <x:c r="I79" s="7"/>
      <x:c r="J79" s="7"/>
      <x:c r="K79" s="7"/>
      <x:c r="L79" s="7"/>
      <x:c r="M79" s="7"/>
      <x:c r="N79" s="7"/>
      <x:c r="O79" s="7"/>
      <x:c r="P79" s="7"/>
      <x:c r="Q79" s="7"/>
      <x:c r="R79" s="7"/>
      <x:c r="S79" s="7"/>
      <x:c r="T79" s="7"/>
      <x:c r="U79" s="7"/>
      <x:c r="V79" s="7"/>
      <x:c r="W79" s="7"/>
    </x:row>
    <x:row r="80" ht="23" customHeight="1">
      <x:c r="A80" s="1"/>
      <x:c r="B80" s="1"/>
      <x:c r="C80" s="7"/>
      <x:c r="D80" s="7"/>
      <x:c r="E80" s="7"/>
      <x:c r="F80" s="7"/>
      <x:c r="G80" s="7"/>
      <x:c r="H80" s="7"/>
      <x:c r="I80" s="7"/>
      <x:c r="J80" s="7"/>
      <x:c r="K80" s="7"/>
      <x:c r="L80" s="7"/>
      <x:c r="M80" s="7"/>
      <x:c r="N80" s="7"/>
      <x:c r="O80" s="7"/>
      <x:c r="P80" s="7"/>
      <x:c r="Q80" s="7"/>
      <x:c r="R80" s="7"/>
      <x:c r="S80" s="7"/>
      <x:c r="T80" s="7"/>
      <x:c r="U80" s="7"/>
      <x:c r="V80" s="7"/>
      <x:c r="W80" s="7"/>
    </x:row>
    <x:row r="81" ht="23" customHeight="1">
      <x:c r="A81" s="1"/>
      <x:c r="B81" s="1"/>
      <x:c r="C81" s="7"/>
      <x:c r="D81" s="7"/>
      <x:c r="E81" s="7"/>
      <x:c r="F81" s="7"/>
      <x:c r="G81" s="7"/>
      <x:c r="H81" s="7"/>
      <x:c r="I81" s="7"/>
      <x:c r="J81" s="7"/>
      <x:c r="K81" s="7"/>
      <x:c r="L81" s="7"/>
      <x:c r="M81" s="7"/>
      <x:c r="N81" s="7"/>
      <x:c r="O81" s="7"/>
      <x:c r="P81" s="7"/>
      <x:c r="Q81" s="7"/>
      <x:c r="R81" s="7"/>
      <x:c r="S81" s="7"/>
      <x:c r="T81" s="7"/>
      <x:c r="U81" s="7"/>
      <x:c r="V81" s="7"/>
      <x:c r="W81" s="7"/>
    </x:row>
    <x:row r="82" ht="23" customHeight="1">
      <x:c r="A82" s="1"/>
      <x:c r="B82" s="1"/>
      <x:c r="C82" s="7"/>
      <x:c r="D82" s="7"/>
      <x:c r="E82" s="7"/>
      <x:c r="F82" s="7"/>
      <x:c r="G82" s="7"/>
      <x:c r="H82" s="7"/>
      <x:c r="I82" s="7"/>
      <x:c r="J82" s="7"/>
      <x:c r="K82" s="7"/>
      <x:c r="L82" s="7"/>
      <x:c r="M82" s="7"/>
      <x:c r="N82" s="7"/>
      <x:c r="O82" s="7"/>
      <x:c r="P82" s="7"/>
      <x:c r="Q82" s="7"/>
      <x:c r="R82" s="7"/>
      <x:c r="S82" s="7"/>
      <x:c r="T82" s="7"/>
      <x:c r="U82" s="7"/>
      <x:c r="V82" s="7"/>
      <x:c r="W82" s="7"/>
    </x:row>
    <x:row r="83" ht="23" customHeight="1">
      <x:c r="A83" s="1"/>
      <x:c r="B83" s="1"/>
      <x:c r="C83" s="7"/>
      <x:c r="D83" s="7"/>
      <x:c r="E83" s="7"/>
      <x:c r="F83" s="7"/>
      <x:c r="G83" s="7"/>
      <x:c r="H83" s="7"/>
      <x:c r="I83" s="7"/>
      <x:c r="J83" s="7"/>
      <x:c r="K83" s="7"/>
      <x:c r="L83" s="7"/>
      <x:c r="M83" s="7"/>
      <x:c r="N83" s="7"/>
      <x:c r="O83" s="7"/>
      <x:c r="P83" s="7"/>
      <x:c r="Q83" s="7"/>
      <x:c r="R83" s="7"/>
      <x:c r="S83" s="7"/>
      <x:c r="T83" s="7"/>
      <x:c r="U83" s="7"/>
      <x:c r="V83" s="7"/>
      <x:c r="W83" s="7"/>
    </x:row>
    <x:row r="84" ht="23" customHeight="1">
      <x:c r="A84" s="1"/>
      <x:c r="B84" s="1"/>
      <x:c r="C84" s="7"/>
      <x:c r="D84" s="7"/>
      <x:c r="E84" s="7"/>
      <x:c r="F84" s="7"/>
      <x:c r="G84" s="7"/>
      <x:c r="H84" s="7"/>
      <x:c r="I84" s="7"/>
      <x:c r="J84" s="7"/>
      <x:c r="K84" s="7"/>
      <x:c r="L84" s="7"/>
      <x:c r="M84" s="7"/>
      <x:c r="N84" s="7"/>
      <x:c r="O84" s="7"/>
      <x:c r="P84" s="7"/>
      <x:c r="Q84" s="7"/>
      <x:c r="R84" s="7"/>
      <x:c r="S84" s="7"/>
      <x:c r="T84" s="7"/>
      <x:c r="U84" s="7"/>
      <x:c r="V84" s="7"/>
      <x:c r="W84" s="7"/>
    </x:row>
    <x:row r="85" ht="23" customHeight="1">
      <x:c r="A85" s="1"/>
      <x:c r="B85" s="1"/>
      <x:c r="C85" s="7"/>
      <x:c r="D85" s="7"/>
      <x:c r="E85" s="7"/>
      <x:c r="F85" s="7"/>
      <x:c r="G85" s="7"/>
      <x:c r="H85" s="7"/>
      <x:c r="I85" s="7"/>
      <x:c r="J85" s="7"/>
      <x:c r="K85" s="7"/>
      <x:c r="L85" s="7"/>
      <x:c r="M85" s="7"/>
      <x:c r="N85" s="7"/>
      <x:c r="O85" s="7"/>
      <x:c r="P85" s="7"/>
      <x:c r="Q85" s="7"/>
      <x:c r="R85" s="7"/>
      <x:c r="S85" s="7"/>
      <x:c r="T85" s="7"/>
      <x:c r="U85" s="7"/>
      <x:c r="V85" s="7"/>
      <x:c r="W85" s="7"/>
    </x:row>
    <x:row r="86" ht="23" customHeight="1">
      <x:c r="A86" s="1"/>
      <x:c r="B86" s="1"/>
      <x:c r="C86" s="7"/>
      <x:c r="D86" s="7"/>
      <x:c r="E86" s="7"/>
      <x:c r="F86" s="7"/>
      <x:c r="G86" s="7"/>
      <x:c r="H86" s="7"/>
      <x:c r="I86" s="7"/>
      <x:c r="J86" s="7"/>
      <x:c r="K86" s="7"/>
      <x:c r="L86" s="7"/>
      <x:c r="M86" s="7"/>
      <x:c r="N86" s="7"/>
      <x:c r="O86" s="7"/>
      <x:c r="P86" s="7"/>
      <x:c r="Q86" s="7"/>
      <x:c r="R86" s="7"/>
      <x:c r="S86" s="7"/>
      <x:c r="T86" s="7"/>
      <x:c r="U86" s="7"/>
      <x:c r="V86" s="7"/>
      <x:c r="W86" s="7"/>
    </x:row>
    <x:row r="87" ht="23" customHeight="1">
      <x:c r="A87" s="1"/>
      <x:c r="B87" s="1"/>
      <x:c r="C87" s="7"/>
      <x:c r="D87" s="7"/>
      <x:c r="E87" s="7"/>
      <x:c r="F87" s="7"/>
      <x:c r="G87" s="7"/>
      <x:c r="H87" s="7"/>
      <x:c r="I87" s="7"/>
      <x:c r="J87" s="7"/>
      <x:c r="K87" s="7"/>
      <x:c r="L87" s="7"/>
      <x:c r="M87" s="7"/>
      <x:c r="N87" s="7"/>
      <x:c r="O87" s="7"/>
      <x:c r="P87" s="7"/>
      <x:c r="Q87" s="7"/>
      <x:c r="R87" s="7"/>
      <x:c r="S87" s="7"/>
      <x:c r="T87" s="7"/>
      <x:c r="U87" s="7"/>
      <x:c r="V87" s="7"/>
      <x:c r="W87" s="7"/>
    </x:row>
    <x:row r="88" ht="23" customHeight="1">
      <x:c r="A88" s="1"/>
      <x:c r="B88" s="1"/>
      <x:c r="C88" s="7"/>
      <x:c r="D88" s="7"/>
      <x:c r="E88" s="7"/>
      <x:c r="F88" s="7"/>
      <x:c r="G88" s="7"/>
      <x:c r="H88" s="7"/>
      <x:c r="I88" s="7"/>
      <x:c r="J88" s="7"/>
      <x:c r="K88" s="7"/>
      <x:c r="L88" s="7"/>
      <x:c r="M88" s="7"/>
      <x:c r="N88" s="7"/>
      <x:c r="O88" s="7"/>
      <x:c r="P88" s="7"/>
      <x:c r="Q88" s="7"/>
      <x:c r="R88" s="7"/>
      <x:c r="S88" s="7"/>
      <x:c r="T88" s="7"/>
      <x:c r="U88" s="7"/>
      <x:c r="V88" s="7"/>
      <x:c r="W88" s="7"/>
    </x:row>
    <x:row r="89" ht="23" customHeight="1">
      <x:c r="A89" s="1"/>
      <x:c r="B89" s="1"/>
      <x:c r="C89" s="7"/>
      <x:c r="D89" s="7"/>
      <x:c r="E89" s="7"/>
      <x:c r="F89" s="7"/>
      <x:c r="G89" s="7"/>
      <x:c r="H89" s="7"/>
      <x:c r="I89" s="7"/>
      <x:c r="J89" s="7"/>
      <x:c r="K89" s="7"/>
      <x:c r="L89" s="7"/>
      <x:c r="M89" s="7"/>
      <x:c r="N89" s="7"/>
      <x:c r="O89" s="7"/>
      <x:c r="P89" s="7"/>
      <x:c r="Q89" s="7"/>
      <x:c r="R89" s="7"/>
      <x:c r="S89" s="7"/>
      <x:c r="T89" s="7"/>
      <x:c r="U89" s="7"/>
      <x:c r="V89" s="7"/>
      <x:c r="W89" s="7"/>
    </x:row>
    <x:row r="90" ht="23" customHeight="1">
      <x:c r="A90" s="1"/>
      <x:c r="B90" s="1"/>
      <x:c r="C90" s="7"/>
      <x:c r="D90" s="7"/>
      <x:c r="E90" s="7"/>
      <x:c r="F90" s="7"/>
      <x:c r="G90" s="7"/>
      <x:c r="H90" s="7"/>
      <x:c r="I90" s="7"/>
      <x:c r="J90" s="7"/>
      <x:c r="K90" s="7"/>
      <x:c r="L90" s="7"/>
      <x:c r="M90" s="7"/>
      <x:c r="N90" s="7"/>
      <x:c r="O90" s="7"/>
      <x:c r="P90" s="7"/>
      <x:c r="Q90" s="7"/>
      <x:c r="R90" s="7"/>
      <x:c r="S90" s="7"/>
      <x:c r="T90" s="7"/>
      <x:c r="U90" s="7"/>
      <x:c r="V90" s="7"/>
      <x:c r="W90" s="7"/>
    </x:row>
    <x:row r="91" ht="23" customHeight="1">
      <x:c r="A91" s="1"/>
      <x:c r="B91" s="1"/>
      <x:c r="C91" s="7"/>
      <x:c r="D91" s="7"/>
      <x:c r="E91" s="7"/>
      <x:c r="F91" s="7"/>
      <x:c r="G91" s="7"/>
      <x:c r="H91" s="7"/>
      <x:c r="I91" s="7"/>
      <x:c r="J91" s="7"/>
      <x:c r="K91" s="7"/>
      <x:c r="L91" s="7"/>
      <x:c r="M91" s="7"/>
      <x:c r="N91" s="7"/>
      <x:c r="O91" s="7"/>
      <x:c r="P91" s="7"/>
      <x:c r="Q91" s="7"/>
      <x:c r="R91" s="7"/>
      <x:c r="S91" s="7"/>
      <x:c r="T91" s="7"/>
      <x:c r="U91" s="7"/>
      <x:c r="V91" s="7"/>
      <x:c r="W91" s="7"/>
    </x:row>
    <x:row r="92" ht="23" customHeight="1">
      <x:c r="A92" s="1"/>
      <x:c r="B92" s="1"/>
      <x:c r="C92" s="7"/>
      <x:c r="D92" s="7"/>
      <x:c r="E92" s="7"/>
      <x:c r="F92" s="7"/>
      <x:c r="G92" s="7"/>
      <x:c r="H92" s="7"/>
      <x:c r="I92" s="7"/>
      <x:c r="J92" s="7"/>
      <x:c r="K92" s="7"/>
      <x:c r="L92" s="7"/>
      <x:c r="M92" s="7"/>
      <x:c r="N92" s="7"/>
      <x:c r="O92" s="7"/>
      <x:c r="P92" s="7"/>
      <x:c r="Q92" s="7"/>
      <x:c r="R92" s="7"/>
      <x:c r="S92" s="7"/>
      <x:c r="T92" s="7"/>
      <x:c r="U92" s="7"/>
      <x:c r="V92" s="7"/>
      <x:c r="W92" s="7"/>
    </x:row>
    <x:row r="93" ht="23" customHeight="1">
      <x:c r="A93" s="1"/>
      <x:c r="B93" s="1"/>
      <x:c r="C93" s="7"/>
      <x:c r="D93" s="7"/>
      <x:c r="E93" s="7"/>
      <x:c r="F93" s="7"/>
      <x:c r="G93" s="7"/>
      <x:c r="H93" s="7"/>
      <x:c r="I93" s="7"/>
      <x:c r="J93" s="7"/>
      <x:c r="K93" s="7"/>
      <x:c r="L93" s="7"/>
      <x:c r="M93" s="7"/>
      <x:c r="N93" s="7"/>
      <x:c r="O93" s="7"/>
      <x:c r="P93" s="7"/>
      <x:c r="Q93" s="7"/>
      <x:c r="R93" s="7"/>
      <x:c r="S93" s="7"/>
      <x:c r="T93" s="7"/>
      <x:c r="U93" s="7"/>
      <x:c r="V93" s="7"/>
      <x:c r="W93" s="7"/>
    </x:row>
    <x:row r="94" ht="23" customHeight="1">
      <x:c r="A94" s="1"/>
      <x:c r="B94" s="1"/>
      <x:c r="C94" s="7"/>
      <x:c r="D94" s="7"/>
      <x:c r="E94" s="7"/>
      <x:c r="F94" s="7"/>
      <x:c r="G94" s="7"/>
      <x:c r="H94" s="7"/>
      <x:c r="I94" s="7"/>
      <x:c r="J94" s="7"/>
      <x:c r="K94" s="7"/>
      <x:c r="L94" s="7"/>
      <x:c r="M94" s="7"/>
      <x:c r="N94" s="7"/>
      <x:c r="O94" s="7"/>
      <x:c r="P94" s="7"/>
      <x:c r="Q94" s="7"/>
      <x:c r="R94" s="7"/>
      <x:c r="S94" s="7"/>
      <x:c r="T94" s="7"/>
      <x:c r="U94" s="7"/>
      <x:c r="V94" s="7"/>
      <x:c r="W94" s="7"/>
    </x:row>
    <x:row r="95" ht="23" customHeight="1">
      <x:c r="A95" s="1"/>
      <x:c r="B95" s="1"/>
      <x:c r="C95" s="7"/>
      <x:c r="D95" s="7"/>
      <x:c r="E95" s="7"/>
      <x:c r="F95" s="7"/>
      <x:c r="G95" s="7"/>
      <x:c r="H95" s="7"/>
      <x:c r="I95" s="7"/>
      <x:c r="J95" s="7"/>
      <x:c r="K95" s="7"/>
      <x:c r="L95" s="7"/>
      <x:c r="M95" s="7"/>
      <x:c r="N95" s="7"/>
      <x:c r="O95" s="7"/>
      <x:c r="P95" s="7"/>
      <x:c r="Q95" s="7"/>
      <x:c r="R95" s="7"/>
      <x:c r="S95" s="7"/>
      <x:c r="T95" s="7"/>
      <x:c r="U95" s="7"/>
      <x:c r="V95" s="7"/>
      <x:c r="W95" s="7"/>
    </x:row>
    <x:row r="96" ht="23" customHeight="1">
      <x:c r="A96" s="1"/>
      <x:c r="B96" s="1"/>
      <x:c r="C96" s="7"/>
      <x:c r="D96" s="7"/>
      <x:c r="E96" s="7"/>
      <x:c r="F96" s="7"/>
      <x:c r="G96" s="7"/>
      <x:c r="H96" s="7"/>
      <x:c r="I96" s="7"/>
      <x:c r="J96" s="7"/>
      <x:c r="K96" s="7"/>
      <x:c r="L96" s="7"/>
      <x:c r="M96" s="7"/>
      <x:c r="N96" s="7"/>
      <x:c r="O96" s="7"/>
      <x:c r="P96" s="7"/>
      <x:c r="Q96" s="7"/>
      <x:c r="R96" s="7"/>
      <x:c r="S96" s="7"/>
      <x:c r="T96" s="7"/>
      <x:c r="U96" s="7"/>
      <x:c r="V96" s="7"/>
      <x:c r="W96" s="7"/>
    </x:row>
    <x:row r="97" ht="23" customHeight="1">
      <x:c r="A97" s="1"/>
      <x:c r="B97" s="1"/>
      <x:c r="C97" s="7"/>
      <x:c r="D97" s="7"/>
      <x:c r="E97" s="7"/>
      <x:c r="F97" s="7"/>
      <x:c r="G97" s="7"/>
      <x:c r="H97" s="7"/>
      <x:c r="I97" s="7"/>
      <x:c r="J97" s="7"/>
      <x:c r="K97" s="7"/>
      <x:c r="L97" s="7"/>
      <x:c r="M97" s="7"/>
      <x:c r="N97" s="7"/>
      <x:c r="O97" s="7"/>
      <x:c r="P97" s="7"/>
      <x:c r="Q97" s="7"/>
      <x:c r="R97" s="7"/>
      <x:c r="S97" s="7"/>
      <x:c r="T97" s="7"/>
      <x:c r="U97" s="7"/>
      <x:c r="V97" s="7"/>
      <x:c r="W97" s="7"/>
    </x:row>
    <x:row r="98" ht="23" customHeight="1">
      <x:c r="A98" s="1"/>
      <x:c r="B98" s="1"/>
      <x:c r="C98" s="7"/>
      <x:c r="D98" s="7"/>
      <x:c r="E98" s="7"/>
      <x:c r="F98" s="7"/>
      <x:c r="G98" s="7"/>
      <x:c r="H98" s="7"/>
      <x:c r="I98" s="7"/>
      <x:c r="J98" s="7"/>
      <x:c r="K98" s="7"/>
      <x:c r="L98" s="7"/>
      <x:c r="M98" s="7"/>
      <x:c r="N98" s="7"/>
      <x:c r="O98" s="7"/>
      <x:c r="P98" s="7"/>
      <x:c r="Q98" s="7"/>
      <x:c r="R98" s="7"/>
      <x:c r="S98" s="7"/>
      <x:c r="T98" s="7"/>
      <x:c r="U98" s="7"/>
      <x:c r="V98" s="7"/>
      <x:c r="W98" s="7"/>
    </x:row>
    <x:row r="99" ht="23" customHeight="1">
      <x:c r="A99" s="1"/>
      <x:c r="B99" s="1"/>
      <x:c r="C99" s="7"/>
      <x:c r="D99" s="7"/>
      <x:c r="E99" s="7"/>
      <x:c r="F99" s="7"/>
      <x:c r="G99" s="7"/>
      <x:c r="H99" s="7"/>
      <x:c r="I99" s="7"/>
      <x:c r="J99" s="7"/>
      <x:c r="K99" s="7"/>
      <x:c r="L99" s="7"/>
      <x:c r="M99" s="7"/>
      <x:c r="N99" s="7"/>
      <x:c r="O99" s="7"/>
      <x:c r="P99" s="7"/>
      <x:c r="Q99" s="7"/>
      <x:c r="R99" s="7"/>
      <x:c r="S99" s="7"/>
      <x:c r="T99" s="7"/>
      <x:c r="U99" s="7"/>
      <x:c r="V99" s="7"/>
      <x:c r="W99" s="7"/>
    </x:row>
    <x:row r="100" ht="23" customHeight="1">
      <x:c r="A100" s="1"/>
      <x:c r="B100" s="1"/>
      <x:c r="C100" s="7"/>
      <x:c r="D100" s="7"/>
      <x:c r="E100" s="7"/>
      <x:c r="F100" s="7"/>
      <x:c r="G100" s="7"/>
      <x:c r="H100" s="7"/>
      <x:c r="I100" s="7"/>
      <x:c r="J100" s="7"/>
      <x:c r="K100" s="7"/>
      <x:c r="L100" s="7"/>
      <x:c r="M100" s="7"/>
      <x:c r="N100" s="7"/>
      <x:c r="O100" s="7"/>
      <x:c r="P100" s="7"/>
      <x:c r="Q100" s="7"/>
      <x:c r="R100" s="7"/>
      <x:c r="S100" s="7"/>
      <x:c r="T100" s="7"/>
      <x:c r="U100" s="7"/>
      <x:c r="V100" s="7"/>
      <x:c r="W100" s="7"/>
    </x:row>
  </x:sheetData>
  <x:mergeCells>
    <x:mergeCell ref="A1:J2"/>
    <x:mergeCell ref="A3:J3"/>
    <x:mergeCell ref="A4:B4"/>
  </x:mergeCells>
  <x:pageMargins left="0.7" right="0.7" top="0.75" bottom="0.75" header="0.3" footer="0.3"/>
</x:worksheet>
</file>