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bba913e2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7f712e9f6f94445c"/>
    <x:sheet xmlns:r="http://schemas.openxmlformats.org/officeDocument/2006/relationships" name="Допущения" sheetId="2" r:id="R41e0847f5700423d"/>
    <x:sheet xmlns:r="http://schemas.openxmlformats.org/officeDocument/2006/relationships" name="Оборудование" sheetId="3" r:id="R0d240428bf3f482d"/>
    <x:sheet xmlns:r="http://schemas.openxmlformats.org/officeDocument/2006/relationships" name="Персонал" sheetId="4" r:id="Rf26d33a487c04959"/>
    <x:sheet xmlns:r="http://schemas.openxmlformats.org/officeDocument/2006/relationships" name="Электрика" sheetId="5" r:id="Ra4d7d75c96034a2a"/>
    <x:sheet xmlns:r="http://schemas.openxmlformats.org/officeDocument/2006/relationships" name="Инвестиции" sheetId="6" r:id="Rf206a1b199f544a8"/>
    <x:sheet xmlns:r="http://schemas.openxmlformats.org/officeDocument/2006/relationships" name="Зоны" sheetId="7" r:id="R55bb41d4299f4c88"/>
    <x:sheet xmlns:r="http://schemas.openxmlformats.org/officeDocument/2006/relationships" name="Поток 48 мес" sheetId="8" r:id="R9a41189bd4cc42e1"/>
    <x:sheet xmlns:r="http://schemas.openxmlformats.org/officeDocument/2006/relationships" name="События" sheetId="9" r:id="Rf882b3c2ff9f47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6A7C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9b80b8270486c" /><Relationship Type="http://schemas.openxmlformats.org/officeDocument/2006/relationships/theme" Target="/xl/theme/theme1.xml" Id="Rdaff2e058a3c4055" /><Relationship Type="http://schemas.openxmlformats.org/officeDocument/2006/relationships/sharedStrings" Target="/xl/sharedStrings.xml" Id="Reffa3c74199d4462" /><Relationship Type="http://schemas.openxmlformats.org/officeDocument/2006/relationships/worksheet" Target="/xl/worksheets/sheet1.xml" Id="R7f712e9f6f94445c" /><Relationship Type="http://schemas.openxmlformats.org/officeDocument/2006/relationships/worksheet" Target="/xl/worksheets/sheet2.xml" Id="R41e0847f5700423d" /><Relationship Type="http://schemas.openxmlformats.org/officeDocument/2006/relationships/worksheet" Target="/xl/worksheets/sheet3.xml" Id="R0d240428bf3f482d" /><Relationship Type="http://schemas.openxmlformats.org/officeDocument/2006/relationships/worksheet" Target="/xl/worksheets/sheet4.xml" Id="Rf26d33a487c04959" /><Relationship Type="http://schemas.openxmlformats.org/officeDocument/2006/relationships/worksheet" Target="/xl/worksheets/sheet5.xml" Id="Ra4d7d75c96034a2a" /><Relationship Type="http://schemas.openxmlformats.org/officeDocument/2006/relationships/worksheet" Target="/xl/worksheets/sheet6.xml" Id="Rf206a1b199f544a8" /><Relationship Type="http://schemas.openxmlformats.org/officeDocument/2006/relationships/worksheet" Target="/xl/worksheets/sheet7.xml" Id="R55bb41d4299f4c88" /><Relationship Type="http://schemas.openxmlformats.org/officeDocument/2006/relationships/worksheet" Target="/xl/worksheets/sheet8.xml" Id="R9a41189bd4cc42e1" /><Relationship Type="http://schemas.openxmlformats.org/officeDocument/2006/relationships/worksheet" Target="/xl/worksheets/sheet9.xml" Id="Rf882b3c2ff9f47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250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Семейная мастерская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'Оборудование'!E18</x:f>
        <x:v>2285280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'Инвестиции'!C20</x:f>
        <x:v>14515403.16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3191815.0000000005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1231108.8600000003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11.790511490592307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15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32175118.15677966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10298768.683983052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41146293.60040985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1506146.3810348024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1223.9564270260244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24.0925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'Персонал'!C15</x:f>
        <x:v>12.59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30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19.650000000000002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250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1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0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'Зоны'!O14-'Инвестиции'!C20</x:f>
        <x:v>-1.862645149230957e-9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0.655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1.441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1.441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0.05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0.05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IF(B5=4,2.5,2.5)</x:f>
        <x:v>2.5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30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1800</x:v>
      </x:c>
      <x:c r="D31" s="10" t="n">
        <x:v>700</x:v>
      </x:c>
      <x:c r="E31" s="14" t="n">
        <x:v>0.02</x:v>
      </x:c>
      <x:c r="F31" s="10" t="n">
        <x:v>0</x:v>
      </x:c>
      <x:c r="G31" s="14" t="n">
        <x:v>0.3645833333333333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400</x:v>
      </x:c>
      <x:c r="D32" s="10" t="n">
        <x:v>150</x:v>
      </x:c>
      <x:c r="E32" s="14" t="n">
        <x:v>0.05</x:v>
      </x:c>
      <x:c r="F32" s="10" t="n">
        <x:v>0</x:v>
      </x:c>
      <x:c r="G32" s="14" t="n">
        <x:v>0.15625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10" t="n">
        <x:v>1000</x:v>
      </x:c>
      <x:c r="D33" s="10" t="n">
        <x:v>130</x:v>
      </x:c>
      <x:c r="E33" s="14" t="n">
        <x:v>0.2</x:v>
      </x:c>
      <x:c r="F33" s="10" t="n">
        <x:v>0</x:v>
      </x:c>
      <x:c r="G33" s="14" t="n">
        <x:v>0.125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18</x:v>
      </x:c>
      <x:c r="D34" s="10" t="n">
        <x:v>15000</x:v>
      </x:c>
      <x:c r="E34" s="14" t="n">
        <x:v>0.25</x:v>
      </x:c>
      <x:c r="F34" s="10" t="n">
        <x:v>0</x:v>
      </x:c>
      <x:c r="G34" s="14" t="n">
        <x:v>0.125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900</x:v>
      </x:c>
      <x:c r="D35" s="10" t="n">
        <x:v>500</x:v>
      </x:c>
      <x:c r="E35" s="14" t="n">
        <x:v>0.35</x:v>
      </x:c>
      <x:c r="F35" s="10" t="n">
        <x:v>0</x:v>
      </x:c>
      <x:c r="G35" s="14" t="n">
        <x:v>0.14583333333333334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100</x:v>
      </x:c>
      <x:c r="D36" s="10" t="n">
        <x:v>450</x:v>
      </x:c>
      <x:c r="E36" s="14" t="n">
        <x:v>0.3</x:v>
      </x:c>
      <x:c r="F36" s="10" t="n">
        <x:v>0</x:v>
      </x:c>
      <x:c r="G36" s="14" t="n">
        <x:v>0.08333333333333334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0</x:v>
      </x:c>
      <x:c r="D37" s="10" t="n">
        <x:v>200</x:v>
      </x:c>
      <x:c r="E37" s="14" t="n">
        <x:v>0</x:v>
      </x:c>
      <x:c r="F37" s="10" t="n">
        <x:v>50</x:v>
      </x:c>
      <x:c r="G37" s="14" t="n">
        <x:v>0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Источник / статус мощности</x:v>
      </x:c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M2</x:v>
      </x:c>
      <x:c r="B7" s="28" t="str">
        <x:v>Лабиринт «Фазенда»</x:v>
      </x:c>
      <x:c r="C7" s="10" t="n">
        <x:v>1</x:v>
      </x:c>
      <x:c r="D7" s="10" t="n">
        <x:v>870000</x:v>
      </x:c>
      <x:c r="E7" s="7" t="n">
        <x:f>C7*D7</x:f>
        <x:v>870000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https://robotail.ru/product/detskiy-igrovoy-labirint-fazenzha-32375m-9253528m</x:v>
      </x:c>
      <x:c r="J7" s="28" t="str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W1</x:v>
      </x:c>
      <x:c r="B8" s="28" t="str">
        <x:v>Проектор настенный NEW</x:v>
      </x:c>
      <x:c r="C8" s="10" t="n">
        <x:v>1</x:v>
      </x:c>
      <x:c r="D8" s="10" t="n">
        <x:v>189000</x:v>
      </x:c>
      <x:c r="E8" s="7" t="n">
        <x:f>C8*D8</x:f>
        <x:v>189000</x:v>
      </x:c>
      <x:c r="F8" s="19" t="n">
        <x:v>0.8</x:v>
      </x:c>
      <x:c r="G8" s="18" t="n">
        <x:f>C8*F8</x:f>
        <x:v>0.8</x:v>
      </x:c>
      <x:c r="H8" s="28" t="str">
        <x:v>Расчетный резерв</x:v>
      </x:c>
      <x:c r="I8" s="28" t="str">
        <x:v>https://robotail.ru/product/interaktivnyy-proektor-nastennyy-new-maksimalnaya-komplektatsiya</x:v>
      </x:c>
      <x:c r="J8" s="28" t="str">
        <x:v>Габарит на плане — игровая зона, не корпус. Монтаж по оптике проектора.</x:v>
      </x:c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F1</x:v>
      </x:c>
      <x:c r="B9" s="28" t="str">
        <x:v>Проектор напольный Max</x:v>
      </x:c>
      <x:c r="C9" s="10" t="n">
        <x:v>1</x:v>
      </x:c>
      <x:c r="D9" s="10" t="n">
        <x:v>210000</x:v>
      </x:c>
      <x:c r="E9" s="7" t="n">
        <x:f>C9*D9</x:f>
        <x:v>210000</x:v>
      </x:c>
      <x:c r="F9" s="19" t="n">
        <x:v>0.8</x:v>
      </x:c>
      <x:c r="G9" s="18" t="n">
        <x:f>C9*F9</x:f>
        <x:v>0.8</x:v>
      </x:c>
      <x:c r="H9" s="28" t="str">
        <x:v>Расчетный резерв</x:v>
      </x:c>
      <x:c r="I9" s="28" t="str">
        <x:v>https://robotail.ru/product/interaktivnyy-proektor-napolnyy-maksimalnaya-komplektatsiya</x:v>
      </x:c>
      <x:c r="J9" s="28" t="str">
        <x:v>Габарит — игровое поле. ПК и крепеж учтены в комплекте.</x:v>
      </x:c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A1</x:v>
      </x:c>
      <x:c r="B10" s="28" t="str">
        <x:v>Аркада «4 в ряд 2.0», базовая</x:v>
      </x:c>
      <x:c r="C10" s="10" t="n">
        <x:v>1</x:v>
      </x:c>
      <x:c r="D10" s="10" t="n">
        <x:v>362000</x:v>
      </x:c>
      <x:c r="E10" s="7" t="n">
        <x:f>C10*D10</x:f>
        <x:v>362000</x:v>
      </x:c>
      <x:c r="F10" s="19" t="n">
        <x:v>0.13</x:v>
      </x:c>
      <x:c r="G10" s="18" t="n">
        <x:f>C10*F10</x:f>
        <x:v>0.13</x:v>
      </x:c>
      <x:c r="H10" s="28" t="str">
        <x:v>130 Вт по сайту</x:v>
      </x:c>
      <x:c r="I10" s="28" t="str">
        <x:v>https://robotail.ru/product/prizovoy-arkadnyy-avtomat-4-v-ryad-20</x:v>
      </x:c>
      <x:c r="J10" s="28" t="str">
        <x:v>Без витрины. В проекте только режим навыка и прозрачные баллы, без денежных призов.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A2</x:v>
      </x:c>
      <x:c r="B11" s="28" t="str">
        <x:v>Retro Games «Комиксы»</x:v>
      </x:c>
      <x:c r="C11" s="10" t="n">
        <x:v>1</x:v>
      </x:c>
      <x:c r="D11" s="10" t="n">
        <x:v>145600</x:v>
      </x:c>
      <x:c r="E11" s="7" t="n">
        <x:f>C11*D11</x:f>
        <x:v>145600</x:v>
      </x:c>
      <x:c r="F11" s="19" t="n">
        <x:v>0.15</x:v>
      </x:c>
      <x:c r="G11" s="18" t="n">
        <x:f>C11*F11</x:f>
        <x:v>0.15</x:v>
      </x:c>
      <x:c r="H11" s="28" t="str">
        <x:v>150 Вт по сайту</x:v>
      </x:c>
      <x:c r="I11" s="28" t="str">
        <x:v>https://robotail.ru/product/retro-games-komiksy-arkadnyy-avtomat</x:v>
      </x:c>
      <x:c r="J11" s="28" t="str">
        <x:v>7+ по карточке.</x:v>
      </x:c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A4</x:v>
      </x:c>
      <x:c r="B12" s="28" t="str">
        <x:v>Аэрохоккей стальной с лампой 220×120</x:v>
      </x:c>
      <x:c r="C12" s="10" t="n">
        <x:v>1</x:v>
      </x:c>
      <x:c r="D12" s="10" t="n">
        <x:v>237500</x:v>
      </x:c>
      <x:c r="E12" s="7" t="n">
        <x:f>C12*D12</x:f>
        <x:v>237500</x:v>
      </x:c>
      <x:c r="F12" s="19" t="n">
        <x:v>0.5</x:v>
      </x:c>
      <x:c r="G12" s="18" t="n">
        <x:f>C12*F12</x:f>
        <x:v>0.5</x:v>
      </x:c>
      <x:c r="H12" s="28" t="str">
        <x:v>Расчетный резерв</x:v>
      </x:c>
      <x:c r="I12" s="28" t="str">
        <x:v>https://robotail.ru/product/aerohokkey-kosmos-22012075-sm-plexiglas</x:v>
      </x:c>
      <x:c r="J12" s="28" t="str">
        <x:v>175 кг; рабочая зона с игроками ориентировочно 4,4×2,2 м. 7+.</x:v>
      </x:c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A6</x:v>
      </x:c>
      <x:c r="B13" s="28" t="str">
        <x:v>Сапер с подсветкой</x:v>
      </x:c>
      <x:c r="C13" s="10" t="n">
        <x:v>1</x:v>
      </x:c>
      <x:c r="D13" s="10" t="n">
        <x:v>53800</x:v>
      </x:c>
      <x:c r="E13" s="7" t="n">
        <x:f>C13*D13</x:f>
        <x:v>53800</x:v>
      </x:c>
      <x:c r="F13" s="19" t="n">
        <x:v>0.01</x:v>
      </x:c>
      <x:c r="G13" s="18" t="n">
        <x:f>C13*F13</x:f>
        <x:v>0.01</x:v>
      </x:c>
      <x:c r="H13" s="28" t="str">
        <x:v>10 Вт по сайту</x:v>
      </x:c>
      <x:c r="I13" s="28" t="str">
        <x:v>https://robotail.ru/product/attraktsion-zummer-s-podsvetkoy</x:v>
      </x:c>
      <x:c r="J13" s="28" t="str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str">
        <x:v>C1</x:v>
      </x:c>
      <x:c r="B14" s="28" t="str">
        <x:v>Шахматный робот Chess</x:v>
      </x:c>
      <x:c r="C14" s="10" t="n">
        <x:v>1</x:v>
      </x:c>
      <x:c r="D14" s="10" t="n">
        <x:v>149000</x:v>
      </x:c>
      <x:c r="E14" s="7" t="n">
        <x:f>C14*D14</x:f>
        <x:v>149000</x:v>
      </x:c>
      <x:c r="F14" s="19" t="n">
        <x:v>0.05</x:v>
      </x:c>
      <x:c r="G14" s="18" t="n">
        <x:f>C14*F14</x:f>
        <x:v>0.05</x:v>
      </x:c>
      <x:c r="H14" s="28" t="str">
        <x:v>Расчетный резерв</x:v>
      </x:c>
      <x:c r="I14" s="28" t="str">
        <x:v>https://robotail.ru/product/shahmatnyy-robot-chess</x:v>
      </x:c>
      <x:c r="J14" s="28" t="str">
        <x:v>На столе в кафе, отдельная выручка не начисляется.</x:v>
      </x:c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38" customHeight="1">
      <x:c r="A15" s="1" t="str">
        <x:v>B1</x:v>
      </x:c>
      <x:c r="B15" s="28" t="str">
        <x:v>Сухой бассейн «Лягушонок» 1,2 м</x:v>
      </x:c>
      <x:c r="C15" s="10" t="n">
        <x:v>1</x:v>
      </x:c>
      <x:c r="D15" s="10" t="n">
        <x:v>20580</x:v>
      </x:c>
      <x:c r="E15" s="7" t="n">
        <x:f>C15*D15</x:f>
        <x:v>20580</x:v>
      </x:c>
      <x:c r="F15" s="19" t="n">
        <x:v>0</x:v>
      </x:c>
      <x:c r="G15" s="18" t="n">
        <x:f>C15*F15</x:f>
        <x:v>0</x:v>
      </x:c>
      <x:c r="H15" s="28" t="str">
        <x:v>Пассивный</x:v>
      </x:c>
      <x:c r="I15" s="28" t="str">
        <x:v>https://robotail.ru/product/basseyn-kvadratnyy-lyagushonok-razbornyy-120h120h40-sm</x:v>
      </x:c>
      <x:c r="J15" s="28" t="str">
        <x:v>Выбран первый вариант 120×120×40 см.</x:v>
      </x:c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38" customHeight="1">
      <x:c r="A16" s="1" t="str">
        <x:v>S1</x:v>
      </x:c>
      <x:c r="B16" s="28" t="str">
        <x:v>Мягкий конструктор «Форт», 17 элементов</x:v>
      </x:c>
      <x:c r="C16" s="10" t="n">
        <x:v>2</x:v>
      </x:c>
      <x:c r="D16" s="10" t="n">
        <x:v>17900</x:v>
      </x:c>
      <x:c r="E16" s="7" t="n">
        <x:f>C16*D16</x:f>
        <x:v>35800</x:v>
      </x:c>
      <x:c r="F16" s="19" t="n">
        <x:v>0</x:v>
      </x:c>
      <x:c r="G16" s="18" t="n">
        <x:f>C16*F16</x:f>
        <x:v>0</x:v>
      </x:c>
      <x:c r="H16" s="28" t="str">
        <x:v>Пассивный</x:v>
      </x:c>
      <x:c r="I16" s="28" t="str">
        <x:v>https://robotail.ru/product/detskie-moduli-konstruktor-fort-17-el</x:v>
      </x:c>
      <x:c r="J16" s="28" t="str">
        <x:v>2×2 м — зона игры, не габарит упаковки; наборы хранятся в стеллаже и выдаются поочередно.</x:v>
      </x:c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38" customHeight="1">
      <x:c r="A17" s="1" t="str">
        <x:v>B3</x:v>
      </x:c>
      <x:c r="B17" s="28" t="str">
        <x:v>Шарики для бассейна 70 мм, дополнительный запас</x:v>
      </x:c>
      <x:c r="C17" s="10" t="n">
        <x:v>2000</x:v>
      </x:c>
      <x:c r="D17" s="10" t="n">
        <x:v>6</x:v>
      </x:c>
      <x:c r="E17" s="7" t="n">
        <x:f>C17*D17</x:f>
        <x:v>12000</x:v>
      </x:c>
      <x:c r="F17" s="19" t="n">
        <x:v>0</x:v>
      </x:c>
      <x:c r="G17" s="18" t="n">
        <x:f>C17*F17</x:f>
        <x:v>0</x:v>
      </x:c>
      <x:c r="H17" s="28" t="str">
        <x:v>Пассивный</x:v>
      </x:c>
      <x:c r="I17" s="28" t="str">
        <x:v>https://robotail.ru/product/shariki-dlya-suhogo-basseyna-70-mm-2</x:v>
      </x:c>
      <x:c r="J17" s="28" t="str">
        <x:v>Количество предварительное. Исключить дубли с шарами из комплектации лабиринта по итоговой ведомости.</x:v>
      </x:c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38" customHeight="1">
      <x:c r="A18" s="1"/>
      <x:c r="B18" s="28" t="str">
        <x:v>ИТОГО</x:v>
      </x:c>
      <x:c r="C18" s="7"/>
      <x:c r="D18" s="7"/>
      <x:c r="E18" s="7" t="n">
        <x:f>SUM(E7:E17)</x:f>
        <x:v>2285280</x:v>
      </x:c>
      <x:c r="F18" s="18"/>
      <x:c r="G18" s="18" t="n">
        <x:f>SUM(G7:G17)</x:f>
        <x:v>2.4399999999999995</x:v>
      </x:c>
      <x:c r="H18" s="28"/>
      <x:c r="I18" s="28"/>
      <x:c r="J18" s="28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2.36</x:v>
      </x:c>
      <x:c r="D7" s="10" t="n">
        <x:v>45000</x:v>
      </x:c>
      <x:c r="E7" s="7" t="n">
        <x:f>C7*D7</x:f>
        <x:v>106200</x:v>
      </x:c>
      <x:c r="F7" s="7" t="n">
        <x:v>1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4.72</x:v>
      </x:c>
      <x:c r="D8" s="10" t="n">
        <x:v>45000</x:v>
      </x:c>
      <x:c r="E8" s="7" t="n">
        <x:f>C8*D8</x:f>
        <x:v>212400</x:v>
      </x:c>
      <x:c r="F8" s="7" t="n">
        <x:v>2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Бариста / работник кафе</x:v>
      </x:c>
      <x:c r="C9" s="17" t="n">
        <x:f>F9*ROUND('Допущения'!$B$22,2)</x:f>
        <x:v>2.36</x:v>
      </x:c>
      <x:c r="D9" s="10" t="n">
        <x:v>45000</x:v>
      </x:c>
      <x:c r="E9" s="7" t="n">
        <x:f>C9*D9</x:f>
        <x:v>106200</x:v>
      </x:c>
      <x:c r="F9" s="7" t="n">
        <x:v>1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Управляющий / старший смены</x:v>
      </x:c>
      <x:c r="C10" s="15" t="n">
        <x:v>1</x:v>
      </x:c>
      <x:c r="D10" s="10" t="n">
        <x:v>75000</x:v>
      </x:c>
      <x:c r="E10" s="7" t="n">
        <x:f>C10*D10</x:f>
        <x:v>75000</x:v>
      </x:c>
      <x:c r="F10" s="7" t="n">
        <x:v>0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Уборщик</x:v>
      </x:c>
      <x:c r="C11" s="15" t="n">
        <x:v>1</x:v>
      </x:c>
      <x:c r="D11" s="10" t="n">
        <x:v>38000</x:v>
      </x:c>
      <x:c r="E11" s="7" t="n">
        <x:f>C11*D11</x:f>
        <x:v>38000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Техник</x:v>
      </x:c>
      <x:c r="C12" s="15" t="n">
        <x:v>0.4</x:v>
      </x:c>
      <x:c r="D12" s="10" t="n">
        <x:v>70000</x:v>
      </x:c>
      <x:c r="E12" s="7" t="n">
        <x:f>C12*D12</x:f>
        <x:v>28000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Аниматор / ведущий</x:v>
      </x:c>
      <x:c r="C13" s="15" t="n">
        <x:v>0.6</x:v>
      </x:c>
      <x:c r="D13" s="10" t="n">
        <x:v>50000</x:v>
      </x:c>
      <x:c r="E13" s="7" t="n">
        <x:f>C13*D13</x:f>
        <x:v>30000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n">
        <x:v>8</x:v>
      </x:c>
      <x:c r="B14" s="7" t="str">
        <x:v>Маркетолог, частичная занятость</x:v>
      </x:c>
      <x:c r="C14" s="15" t="n">
        <x:v>0.15</x:v>
      </x:c>
      <x:c r="D14" s="10" t="n">
        <x:v>60000</x:v>
      </x:c>
      <x:c r="E14" s="7" t="n">
        <x:f>C14*D14</x:f>
        <x:v>9000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ИТОГО ставок / ФОТ</x:v>
      </x:c>
      <x:c r="C15" s="16" t="n">
        <x:f>SUM(C7:C14)</x:f>
        <x:v>12.59</x:v>
      </x:c>
      <x:c r="D15" s="7"/>
      <x:c r="E15" s="7" t="n">
        <x:f>SUM(E7:E14)</x:f>
        <x:v>604800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С резервом взносов</x:v>
      </x:c>
      <x:c r="C16" s="7"/>
      <x:c r="D16" s="7"/>
      <x:c r="E16" s="9" t="n">
        <x:f>E15*(1+'Допущения'!B15)</x:f>
        <x:v>787449.6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'Оборудование'!G18</x:f>
        <x:v>2.4399999999999995</x:v>
      </x:c>
      <x:c r="D7" s="16" t="n">
        <x:v>0.85</x:v>
      </x:c>
      <x:c r="E7" s="16" t="n">
        <x:f>C7*D7</x:f>
        <x:v>2.0739999999999994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2</x:v>
      </x:c>
      <x:c r="D8" s="16" t="n">
        <x:v>0.95</x:v>
      </x:c>
      <x:c r="E8" s="16" t="n">
        <x:f>C8*D8</x:f>
        <x:v>1.9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6.25</x:v>
      </x:c>
      <x:c r="D9" s="16" t="n">
        <x:v>0.8</x:v>
      </x:c>
      <x:c r="E9" s="16" t="n">
        <x:f>C9*D9</x:f>
        <x:v>5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12</x:v>
      </x:c>
      <x:c r="D10" s="16" t="n">
        <x:v>0.65</x:v>
      </x:c>
      <x:c r="E10" s="16" t="n">
        <x:f>C10*D10</x:f>
        <x:v>7.800000000000001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1.6</x:v>
      </x:c>
      <x:c r="D11" s="16" t="n">
        <x:v>0.5</x:v>
      </x:c>
      <x:c r="E11" s="16" t="n">
        <x:f>C11*D11</x:f>
        <x:v>0.8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2</x:v>
      </x:c>
      <x:c r="D12" s="16" t="n">
        <x:v>0.6</x:v>
      </x:c>
      <x:c r="E12" s="16" t="n">
        <x:f>C12*D12</x:f>
        <x:v>1.2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1</x:v>
      </x:c>
      <x:c r="D13" s="16" t="n">
        <x:v>0.5</x:v>
      </x:c>
      <x:c r="E13" s="16" t="n">
        <x:f>C13*D13</x:f>
        <x:v>0.5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27.29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19.274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24.0925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36.605840525100284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4625.76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41631.840000000004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29" t="n">
        <x:f>'Оборудование'!E18</x:f>
        <x:v>2285280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182822.4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4500000</x:v>
      </x:c>
      <x:c r="D9" s="28" t="str">
        <x:v>18000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600000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175000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180000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1500000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250000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Основные вложения</x:v>
      </x:c>
      <x:c r="C15" s="7" t="n">
        <x:f>SUM(C7:C14)</x:f>
        <x:v>9673102.4</x:v>
      </x:c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Непредвиденные, 10%</x:v>
      </x:c>
      <x:c r="C16" s="7" t="n">
        <x:f>C15*0.10</x:f>
        <x:v>967310.2400000001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Депозит аренды: два месяца</x:v>
      </x:c>
      <x:c r="C17" s="7" t="n">
        <x:v>325000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Реклама запуска</x:v>
      </x:c>
      <x:c r="C18" s="7" t="n">
        <x:v>250000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Оборотный резерв: 3 месяца fixed</x:v>
      </x:c>
      <x:c r="C19" s="7" t="n">
        <x:f>C35*3</x:f>
        <x:v>3299990.5199999996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ВСЕГО стартовый бюджет</x:v>
      </x:c>
      <x:c r="C20" s="7" t="n">
        <x:f>SUM(C15:C19)</x:f>
        <x:v>14515403.16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'Персонал'!E16</x:f>
        <x:v>787449.6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162500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41631.840000000004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15000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60000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18000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7" t="n">
        <x:f>C7*0.035/12</x:f>
        <x:v>6665.400000000001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8750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1099996.8399999999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2593.8</x:v>
      </x:c>
      <x:c r="D7" s="9" t="n">
        <x:f>'Допущения'!D31</x:f>
        <x:v>700</x:v>
      </x:c>
      <x:c r="E7" s="7" t="n">
        <x:f>C7*D7</x:f>
        <x:v>1815660.0000000002</x:v>
      </x:c>
      <x:c r="F7" s="9" t="n">
        <x:f>E7/(1+'Допущения'!$B$9)</x:f>
        <x:v>1729200.0000000002</x:v>
      </x:c>
      <x:c r="G7" s="9" t="n">
        <x:f>F7*'Допущения'!E31+C7*'Допущения'!F31</x:f>
        <x:v>34584.00000000001</x:v>
      </x:c>
      <x:c r="H7" s="9" t="n">
        <x:f>E7*'Допущения'!$B$11</x:f>
        <x:v>36313.200000000004</x:v>
      </x:c>
      <x:c r="I7" s="7" t="n">
        <x:f>F7-G7-H7</x:f>
        <x:v>1658302.8000000003</x:v>
      </x:c>
      <x:c r="J7" s="9" t="n">
        <x:f>'Инвестиции'!$C$35*'Допущения'!G31/SUM('Допущения'!$G$31:$G$37)</x:f>
        <x:v>401040.5145833333</x:v>
      </x:c>
      <x:c r="K7" s="9" t="n">
        <x:f>F7*'Допущения'!$B$10</x:f>
        <x:v>103752.00000000001</x:v>
      </x:c>
      <x:c r="L7" s="9" t="n">
        <x:f>F7*'Допущения'!$B$12</x:f>
        <x:v>34584.00000000001</x:v>
      </x:c>
      <x:c r="M7" s="7" t="n">
        <x:f>I7-J7-K7-L7</x:f>
        <x:v>1118926.285416667</x:v>
      </x:c>
      <x:c r="N7" s="20" t="n">
        <x:f>E7/SUM($E$7:$E$13)</x:f>
        <x:v>0.5688487584650113</x:v>
      </x:c>
      <x:c r="O7" s="9" t="n">
        <x:f>'Инвестиции'!$C$20*'Допущения'!G31/SUM('Допущения'!$G$31:$G$37)</x:f>
        <x:v>5292074.06875</x:v>
      </x:c>
      <x:c r="P7" s="21" t="n">
        <x:f>IF(M7&gt;0,O7/M7,"нет")</x:f>
        <x:v>4.729600276375072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576.4</x:v>
      </x:c>
      <x:c r="D8" s="9" t="n">
        <x:f>'Допущения'!D32</x:f>
        <x:v>150</x:v>
      </x:c>
      <x:c r="E8" s="7" t="n">
        <x:f>C8*D8</x:f>
        <x:v>86460</x:v>
      </x:c>
      <x:c r="F8" s="9" t="n">
        <x:f>E8/(1+'Допущения'!$B$9)</x:f>
        <x:v>82342.85714285714</x:v>
      </x:c>
      <x:c r="G8" s="9" t="n">
        <x:f>F8*'Допущения'!E32+C8*'Допущения'!F32</x:f>
        <x:v>4117.142857142858</x:v>
      </x:c>
      <x:c r="H8" s="9" t="n">
        <x:f>E8*'Допущения'!$B$11</x:f>
        <x:v>1729.2</x:v>
      </x:c>
      <x:c r="I8" s="7" t="n">
        <x:f>F8-G8-H8</x:f>
        <x:v>76496.5142857143</x:v>
      </x:c>
      <x:c r="J8" s="9" t="n">
        <x:f>'Инвестиции'!$C$35*'Допущения'!G32/SUM('Допущения'!$G$31:$G$37)</x:f>
        <x:v>171874.50624999998</x:v>
      </x:c>
      <x:c r="K8" s="9" t="n">
        <x:f>F8*'Допущения'!$B$10</x:f>
        <x:v>4940.571428571428</x:v>
      </x:c>
      <x:c r="L8" s="9" t="n">
        <x:f>F8*'Допущения'!$B$12</x:f>
        <x:v>1646.857142857143</x:v>
      </x:c>
      <x:c r="M8" s="7" t="n">
        <x:f>I8-J8-K8-L8</x:f>
        <x:v>-101965.42053571426</x:v>
      </x:c>
      <x:c r="N8" s="20" t="n">
        <x:f>E8/SUM($E$7:$E$13)</x:f>
        <x:v>0.027088036117381486</x:v>
      </x:c>
      <x:c r="O8" s="9" t="n">
        <x:f>'Инвестиции'!$C$20*'Допущения'!G32/SUM('Допущения'!$G$31:$G$37)</x:f>
        <x:v>2268031.74375</x:v>
      </x:c>
      <x:c r="P8" s="21" t="str">
        <x:f>IF(M8&gt;0,O8/M8,"нет")</x:f>
        <x:v>нет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1441</x:v>
      </x:c>
      <x:c r="D9" s="9" t="n">
        <x:f>'Допущения'!D33</x:f>
        <x:v>130</x:v>
      </x:c>
      <x:c r="E9" s="7" t="n">
        <x:f>C9*D9</x:f>
        <x:v>187330</x:v>
      </x:c>
      <x:c r="F9" s="9" t="n">
        <x:f>E9/(1+'Допущения'!$B$9)</x:f>
        <x:v>178409.52380952382</x:v>
      </x:c>
      <x:c r="G9" s="9" t="n">
        <x:f>F9*'Допущения'!E33+C9*'Допущения'!F33</x:f>
        <x:v>35681.90476190476</x:v>
      </x:c>
      <x:c r="H9" s="9" t="n">
        <x:f>E9*'Допущения'!$B$11</x:f>
        <x:v>3746.6</x:v>
      </x:c>
      <x:c r="I9" s="7" t="n">
        <x:f>F9-G9-H9</x:f>
        <x:v>138981.01904761905</x:v>
      </x:c>
      <x:c r="J9" s="9" t="n">
        <x:f>'Инвестиции'!$C$35*'Допущения'!G33/SUM('Допущения'!$G$31:$G$37)</x:f>
        <x:v>137499.60499999998</x:v>
      </x:c>
      <x:c r="K9" s="9" t="n">
        <x:f>F9*'Допущения'!$B$10</x:f>
        <x:v>10704.57142857143</x:v>
      </x:c>
      <x:c r="L9" s="9" t="n">
        <x:f>F9*'Допущения'!$B$12</x:f>
        <x:v>3568.1904761904766</x:v>
      </x:c>
      <x:c r="M9" s="7" t="n">
        <x:f>I9-J9-K9-L9</x:f>
        <x:v>-12791.34785714284</x:v>
      </x:c>
      <x:c r="N9" s="20" t="n">
        <x:f>E9/SUM($E$7:$E$13)</x:f>
        <x:v>0.05869074492099322</x:v>
      </x:c>
      <x:c r="O9" s="9" t="n">
        <x:f>'Инвестиции'!$C$20*'Допущения'!G33/SUM('Допущения'!$G$31:$G$37)</x:f>
        <x:v>1814425.395</x:v>
      </x:c>
      <x:c r="P9" s="21" t="str">
        <x:f>IF(M9&gt;0,O9/M9,"нет")</x:f>
        <x:v>нет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25.938000000000002</x:v>
      </x:c>
      <x:c r="D10" s="9" t="n">
        <x:f>'Допущения'!D34</x:f>
        <x:v>15000</x:v>
      </x:c>
      <x:c r="E10" s="7" t="n">
        <x:f>C10*D10</x:f>
        <x:v>389070.00000000006</x:v>
      </x:c>
      <x:c r="F10" s="9" t="n">
        <x:f>E10/(1+'Допущения'!$B$9)</x:f>
        <x:v>370542.85714285716</x:v>
      </x:c>
      <x:c r="G10" s="9" t="n">
        <x:f>F10*'Допущения'!E34+C10*'Допущения'!F34</x:f>
        <x:v>92635.71428571429</x:v>
      </x:c>
      <x:c r="H10" s="9" t="n">
        <x:f>E10*'Допущения'!$B$11</x:f>
        <x:v>7781.4000000000015</x:v>
      </x:c>
      <x:c r="I10" s="7" t="n">
        <x:f>F10-G10-H10</x:f>
        <x:v>270125.7428571428</x:v>
      </x:c>
      <x:c r="J10" s="9" t="n">
        <x:f>'Инвестиции'!$C$35*'Допущения'!G34/SUM('Допущения'!$G$31:$G$37)</x:f>
        <x:v>137499.60499999998</x:v>
      </x:c>
      <x:c r="K10" s="9" t="n">
        <x:f>F10*'Допущения'!$B$10</x:f>
        <x:v>22232.571428571428</x:v>
      </x:c>
      <x:c r="L10" s="9" t="n">
        <x:f>F10*'Допущения'!$B$12</x:f>
        <x:v>7410.857142857143</x:v>
      </x:c>
      <x:c r="M10" s="7" t="n">
        <x:f>I10-J10-K10-L10</x:f>
        <x:v>102982.70928571427</x:v>
      </x:c>
      <x:c r="N10" s="20" t="n">
        <x:f>E10/SUM($E$7:$E$13)</x:f>
        <x:v>0.12189616252821671</x:v>
      </x:c>
      <x:c r="O10" s="9" t="n">
        <x:f>'Инвестиции'!$C$20*'Допущения'!G34/SUM('Допущения'!$G$31:$G$37)</x:f>
        <x:v>1814425.395</x:v>
      </x:c>
      <x:c r="P10" s="21" t="n">
        <x:f>IF(M10&gt;0,O10/M10,"нет")</x:f>
        <x:v>17.618738209402466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1296.9</x:v>
      </x:c>
      <x:c r="D11" s="9" t="n">
        <x:f>'Допущения'!D35</x:f>
        <x:v>500</x:v>
      </x:c>
      <x:c r="E11" s="7" t="n">
        <x:f>C11*D11</x:f>
        <x:v>648450</x:v>
      </x:c>
      <x:c r="F11" s="9" t="n">
        <x:f>E11/(1+'Допущения'!$B$9)</x:f>
        <x:v>617571.4285714285</x:v>
      </x:c>
      <x:c r="G11" s="9" t="n">
        <x:f>F11*'Допущения'!E35+C11*'Допущения'!F35</x:f>
        <x:v>216149.99999999997</x:v>
      </x:c>
      <x:c r="H11" s="9" t="n">
        <x:f>E11*'Допущения'!$B$11</x:f>
        <x:v>12969</x:v>
      </x:c>
      <x:c r="I11" s="7" t="n">
        <x:f>F11-G11-H11</x:f>
        <x:v>388452.4285714285</x:v>
      </x:c>
      <x:c r="J11" s="9" t="n">
        <x:f>'Инвестиции'!$C$35*'Допущения'!G35/SUM('Допущения'!$G$31:$G$37)</x:f>
        <x:v>160416.2058333333</x:v>
      </x:c>
      <x:c r="K11" s="9" t="n">
        <x:f>F11*'Допущения'!$B$10</x:f>
        <x:v>37054.28571428571</x:v>
      </x:c>
      <x:c r="L11" s="9" t="n">
        <x:f>F11*'Допущения'!$B$12</x:f>
        <x:v>12351.42857142857</x:v>
      </x:c>
      <x:c r="M11" s="7" t="n">
        <x:f>I11-J11-K11-L11</x:f>
        <x:v>178630.50845238092</x:v>
      </x:c>
      <x:c r="N11" s="20" t="n">
        <x:f>E11/SUM($E$7:$E$13)</x:f>
        <x:v>0.20316027088036115</x:v>
      </x:c>
      <x:c r="O11" s="9" t="n">
        <x:f>'Инвестиции'!$C$20*'Допущения'!G35/SUM('Допущения'!$G$31:$G$37)</x:f>
        <x:v>2116829.6275</x:v>
      </x:c>
      <x:c r="P11" s="21" t="n">
        <x:f>IF(M11&gt;0,O11/M11,"нет")</x:f>
        <x:v>11.850325265486783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144.1</x:v>
      </x:c>
      <x:c r="D12" s="9" t="n">
        <x:f>'Допущения'!D36</x:f>
        <x:v>450</x:v>
      </x:c>
      <x:c r="E12" s="7" t="n">
        <x:f>C12*D12</x:f>
        <x:v>64845</x:v>
      </x:c>
      <x:c r="F12" s="9" t="n">
        <x:f>E12/(1+'Допущения'!$B$9)</x:f>
        <x:v>61757.142857142855</x:v>
      </x:c>
      <x:c r="G12" s="9" t="n">
        <x:f>F12*'Допущения'!E36+C12*'Допущения'!F36</x:f>
        <x:v>18527.142857142855</x:v>
      </x:c>
      <x:c r="H12" s="9" t="n">
        <x:f>E12*'Допущения'!$B$11</x:f>
        <x:v>1296.9</x:v>
      </x:c>
      <x:c r="I12" s="7" t="n">
        <x:f>F12-G12-H12</x:f>
        <x:v>41933.1</x:v>
      </x:c>
      <x:c r="J12" s="9" t="n">
        <x:f>'Инвестиции'!$C$35*'Допущения'!G36/SUM('Допущения'!$G$31:$G$37)</x:f>
        <x:v>91666.40333333334</x:v>
      </x:c>
      <x:c r="K12" s="9" t="n">
        <x:f>F12*'Допущения'!$B$10</x:f>
        <x:v>3705.428571428571</x:v>
      </x:c>
      <x:c r="L12" s="9" t="n">
        <x:f>F12*'Допущения'!$B$12</x:f>
        <x:v>1235.142857142857</x:v>
      </x:c>
      <x:c r="M12" s="7" t="n">
        <x:f>I12-J12-K12-L12</x:f>
        <x:v>-54673.874761904764</x:v>
      </x:c>
      <x:c r="N12" s="20" t="n">
        <x:f>E12/SUM($E$7:$E$13)</x:f>
        <x:v>0.020316027088036114</x:v>
      </x:c>
      <x:c r="O12" s="9" t="n">
        <x:f>'Инвестиции'!$C$20*'Допущения'!G36/SUM('Допущения'!$G$31:$G$37)</x:f>
        <x:v>1209616.9300000002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0</x:v>
      </x:c>
      <x:c r="D13" s="9" t="n">
        <x:f>'Допущения'!D37</x:f>
        <x:v>200</x:v>
      </x:c>
      <x:c r="E13" s="7" t="n">
        <x:f>C13*D13</x:f>
        <x:v>0</x:v>
      </x:c>
      <x:c r="F13" s="9" t="n">
        <x:f>E13/(1+'Допущения'!$B$9)</x:f>
        <x:v>0</x:v>
      </x:c>
      <x:c r="G13" s="9" t="n">
        <x:f>F13*'Допущения'!E37+C13*'Допущения'!F37</x:f>
        <x:v>0</x:v>
      </x:c>
      <x:c r="H13" s="9" t="n">
        <x:f>E13*'Допущения'!$B$11</x:f>
        <x:v>0</x:v>
      </x:c>
      <x:c r="I13" s="7" t="n">
        <x:f>F13-G13-H13</x:f>
        <x:v>0</x:v>
      </x:c>
      <x:c r="J13" s="9" t="n">
        <x:f>'Инвестиции'!$C$35*'Допущения'!G37/SUM('Допущения'!$G$31:$G$37)</x:f>
        <x:v>0</x:v>
      </x:c>
      <x:c r="K13" s="9" t="n">
        <x:f>F13*'Допущения'!$B$10</x:f>
        <x:v>0</x:v>
      </x:c>
      <x:c r="L13" s="9" t="n">
        <x:f>F13*'Допущения'!$B$12</x:f>
        <x:v>0</x:v>
      </x:c>
      <x:c r="M13" s="7" t="n">
        <x:f>I13-J13-K13-L13</x:f>
        <x:v>0</x:v>
      </x:c>
      <x:c r="N13" s="20" t="n">
        <x:f>E13/SUM($E$7:$E$13)</x:f>
        <x:v>0</x:v>
      </x:c>
      <x:c r="O13" s="9" t="n">
        <x:f>'Инвестиции'!$C$20*'Допущения'!G37/SUM('Допущения'!$G$31:$G$37)</x:f>
        <x:v>0</x:v>
      </x:c>
      <x:c r="P13" s="21" t="str">
        <x:f>IF(M13&gt;0,O13/M13,"нет")</x:f>
        <x:v>нет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3191815.0000000005</x:v>
      </x:c>
      <x:c r="F14" s="7" t="n">
        <x:f>SUM(F7:F13)</x:f>
        <x:v>3039823.8095238097</x:v>
      </x:c>
      <x:c r="G14" s="7" t="n">
        <x:f>SUM(G7:G13)</x:f>
        <x:v>401695.90476190473</x:v>
      </x:c>
      <x:c r="H14" s="7" t="n">
        <x:f>SUM(H7:H13)</x:f>
        <x:v>63836.3</x:v>
      </x:c>
      <x:c r="I14" s="7" t="n">
        <x:f>SUM(I7:I13)</x:f>
        <x:v>2574291.604761905</x:v>
      </x:c>
      <x:c r="J14" s="7" t="n">
        <x:f>SUM(J7:J13)</x:f>
        <x:v>1099996.8399999999</x:v>
      </x:c>
      <x:c r="K14" s="7" t="n">
        <x:f>SUM(K7:K13)</x:f>
        <x:v>182389.4285714286</x:v>
      </x:c>
      <x:c r="L14" s="7" t="n">
        <x:f>SUM(L7:L13)</x:f>
        <x:v>60796.4761904762</x:v>
      </x:c>
      <x:c r="M14" s="7" t="n">
        <x:f>SUM(M7:M13)</x:f>
        <x:v>1231108.8600000003</x:v>
      </x:c>
      <x:c r="N14" s="20" t="n">
        <x:f>SUM(N7:N13)</x:f>
        <x:v>1</x:v>
      </x:c>
      <x:c r="O14" s="7" t="n">
        <x:f>SUM(O7:O13)</x:f>
        <x:v>14515403.159999998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913984.7796610171</x:v>
      </x:c>
      <x:c r="D7" s="9" t="n">
        <x:f>'Допущения'!C32*'Допущения'!$B$8*'Допущения'!D32*$B7*(1+'Допущения'!$B$13)^0</x:f>
        <x:v>43523.08474576272</x:v>
      </x:c>
      <x:c r="E7" s="9" t="n">
        <x:f>'Допущения'!C33*'Допущения'!$B$8*'Допущения'!D33*$B7*(1+'Допущения'!$B$13)^0</x:f>
        <x:v>94300.01694915256</x:v>
      </x:c>
      <x:c r="F7" s="9" t="n">
        <x:f>'Допущения'!C34*'Допущения'!$B$8*'Допущения'!D34*$B7*(1+'Допущения'!$B$13)^0</x:f>
        <x:v>195853.88135593224</x:v>
      </x:c>
      <x:c r="G7" s="9" t="n">
        <x:f>'Допущения'!C35*'Допущения'!$B$8*'Допущения'!D35*$B7*(1+'Допущения'!$B$13)^0</x:f>
        <x:v>326423.13559322036</x:v>
      </x:c>
      <x:c r="H7" s="9" t="n">
        <x:f>'Допущения'!C36*'Допущения'!$B$8*'Допущения'!D36*$B7*(1+'Допущения'!$B$13)^0</x:f>
        <x:v>32642.313559322036</x:v>
      </x:c>
      <x:c r="I7" s="9" t="n">
        <x:f>'Допущения'!C37*'Допущения'!$B$8*'Допущения'!D37*$B7*(1+'Допущения'!$B$13)^0</x:f>
        <x:v>0</x:v>
      </x:c>
      <x:c r="J7" s="7" t="n">
        <x:f>SUM(C7:I7)</x:f>
        <x:v>1606727.2118644072</x:v>
      </x:c>
      <x:c r="K7" s="9" t="n">
        <x:f>J7/(1+'Допущения'!$B$9)</x:f>
        <x:v>1530216.3922518163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202209.6334140436</x:v>
      </x:c>
      <x:c r="M7" s="9" t="n">
        <x:f>J7*'Допущения'!$B$11</x:f>
        <x:v>32134.544237288144</x:v>
      </x:c>
      <x:c r="N7" s="9" t="n">
        <x:f>'Инвестиции'!$C$35*(1+'Допущения'!$B$14)^0</x:f>
        <x:v>1099996.8399999999</x:v>
      </x:c>
      <x:c r="O7" s="9" t="n">
        <x:f>K7*'Допущения'!$B$10</x:f>
        <x:v>91812.98353510897</x:v>
      </x:c>
      <x:c r="P7" s="9" t="n">
        <x:f>K7*'Допущения'!$B$12</x:f>
        <x:v>30604.32784503633</x:v>
      </x:c>
      <x:c r="Q7" s="7" t="n">
        <x:f>K7-L7-M7-N7</x:f>
        <x:v>195875.37460048473</x:v>
      </x:c>
      <x:c r="R7" s="7" t="n">
        <x:f>Q7-O7-P7</x:f>
        <x:v>73458.06322033943</x:v>
      </x:c>
      <x:c r="S7" s="9" t="n">
        <x:f>R7-'Инвестиции'!C20</x:f>
        <x:v>-14441945.096779661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9.891610169491528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1066315.5762711868</x:v>
      </x:c>
      <x:c r="D8" s="9" t="n">
        <x:f>'Допущения'!C32*'Допущения'!$B$8*'Допущения'!D32*$B8*(1+'Допущения'!$B$13)^0</x:f>
        <x:v>50776.93220338984</x:v>
      </x:c>
      <x:c r="E8" s="9" t="n">
        <x:f>'Допущения'!C33*'Допущения'!$B$8*'Допущения'!D33*$B8*(1+'Допущения'!$B$13)^0</x:f>
        <x:v>110016.686440678</x:v>
      </x:c>
      <x:c r="F8" s="9" t="n">
        <x:f>'Допущения'!C34*'Допущения'!$B$8*'Допущения'!D34*$B8*(1+'Допущения'!$B$13)^0</x:f>
        <x:v>228496.1949152543</x:v>
      </x:c>
      <x:c r="G8" s="9" t="n">
        <x:f>'Допущения'!C35*'Допущения'!$B$8*'Допущения'!D35*$B8*(1+'Допущения'!$B$13)^0</x:f>
        <x:v>380826.99152542383</x:v>
      </x:c>
      <x:c r="H8" s="9" t="n">
        <x:f>'Допущения'!C36*'Допущения'!$B$8*'Допущения'!D36*$B8*(1+'Допущения'!$B$13)^0</x:f>
        <x:v>38082.69915254238</x:v>
      </x:c>
      <x:c r="I8" s="9" t="n">
        <x:f>'Допущения'!C37*'Допущения'!$B$8*'Допущения'!D37*$B8*(1+'Допущения'!$B$13)^0</x:f>
        <x:v>0</x:v>
      </x:c>
      <x:c r="J8" s="7" t="n">
        <x:f>SUM(C8:I8)</x:f>
        <x:v>1874515.0805084752</x:v>
      </x:c>
      <x:c r="K8" s="9" t="n">
        <x:f>J8/(1+'Допущения'!$B$9)</x:f>
        <x:v>1785252.4576271193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235911.2389830509</x:v>
      </x:c>
      <x:c r="M8" s="9" t="n">
        <x:f>J8*'Допущения'!$B$11</x:f>
        <x:v>37490.3016101695</x:v>
      </x:c>
      <x:c r="N8" s="9" t="n">
        <x:f>'Инвестиции'!$C$35*(1+'Допущения'!$B$14)^0</x:f>
        <x:v>1099996.8399999999</x:v>
      </x:c>
      <x:c r="O8" s="9" t="n">
        <x:f>K8*'Допущения'!$B$10</x:f>
        <x:v>107115.14745762716</x:v>
      </x:c>
      <x:c r="P8" s="9" t="n">
        <x:f>K8*'Допущения'!$B$12</x:f>
        <x:v>35705.049152542386</x:v>
      </x:c>
      <x:c r="Q8" s="7" t="n">
        <x:f>K8-L8-M8-N8</x:f>
        <x:v>411854.077033899</x:v>
      </x:c>
      <x:c r="R8" s="7" t="n">
        <x:f>Q8-O8-P8</x:f>
        <x:v>269033.8804237295</x:v>
      </x:c>
      <x:c r="S8" s="7" t="n">
        <x:f>S7+R8</x:f>
        <x:v>-14172911.216355931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11.540211864406784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1200182.0338983054</x:v>
      </x:c>
      <x:c r="D9" s="9" t="n">
        <x:f>'Допущения'!C32*'Допущения'!$B$8*'Допущения'!D32*$B9*(1+'Допущения'!$B$13)^0</x:f>
        <x:v>57151.52542372882</x:v>
      </x:c>
      <x:c r="E9" s="9" t="n">
        <x:f>'Допущения'!C33*'Допущения'!$B$8*'Допущения'!D33*$B9*(1+'Допущения'!$B$13)^0</x:f>
        <x:v>123828.30508474576</x:v>
      </x:c>
      <x:c r="F9" s="9" t="n">
        <x:f>'Допущения'!C34*'Допущения'!$B$8*'Допущения'!D34*$B9*(1+'Допущения'!$B$13)^0</x:f>
        <x:v>257181.8644067797</x:v>
      </x:c>
      <x:c r="G9" s="9" t="n">
        <x:f>'Допущения'!C35*'Допущения'!$B$8*'Допущения'!D35*$B9*(1+'Допущения'!$B$13)^0</x:f>
        <x:v>428636.4406779661</x:v>
      </x:c>
      <x:c r="H9" s="9" t="n">
        <x:f>'Допущения'!C36*'Допущения'!$B$8*'Допущения'!D36*$B9*(1+'Допущения'!$B$13)^0</x:f>
        <x:v>42863.64406779661</x:v>
      </x:c>
      <x:c r="I9" s="9" t="n">
        <x:f>'Допущения'!C37*'Допущения'!$B$8*'Допущения'!D37*$B9*(1+'Допущения'!$B$13)^0</x:f>
        <x:v>0</x:v>
      </x:c>
      <x:c r="J9" s="7" t="n">
        <x:f>SUM(C9:I9)</x:f>
        <x:v>2109843.813559322</x:v>
      </x:c>
      <x:c r="K9" s="9" t="n">
        <x:f>J9/(1+'Допущения'!$B$9)</x:f>
        <x:v>2009375.0605326877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265527.8014527845</x:v>
      </x:c>
      <x:c r="M9" s="9" t="n">
        <x:f>J9*'Допущения'!$B$11</x:f>
        <x:v>42196.87627118645</x:v>
      </x:c>
      <x:c r="N9" s="9" t="n">
        <x:f>'Инвестиции'!$C$35*(1+'Допущения'!$B$14)^0</x:f>
        <x:v>1099996.8399999999</x:v>
      </x:c>
      <x:c r="O9" s="9" t="n">
        <x:f>K9*'Допущения'!$B$10</x:f>
        <x:v>120562.50363196126</x:v>
      </x:c>
      <x:c r="P9" s="9" t="n">
        <x:f>K9*'Допущения'!$B$12</x:f>
        <x:v>40187.501210653754</x:v>
      </x:c>
      <x:c r="Q9" s="7" t="n">
        <x:f>K9-L9-M9-N9</x:f>
        <x:v>601653.5428087169</x:v>
      </x:c>
      <x:c r="R9" s="7" t="n">
        <x:f>Q9-O9-P9</x:f>
        <x:v>440903.5379661019</x:v>
      </x:c>
      <x:c r="S9" s="7" t="n">
        <x:f>S8+R9</x:f>
        <x:v>-13732007.678389829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12.988983050847459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1246342.8813559322</x:v>
      </x:c>
      <x:c r="D10" s="9" t="n">
        <x:f>'Допущения'!C32*'Допущения'!$B$8*'Допущения'!D32*$B10*(1+'Допущения'!$B$13)^0</x:f>
        <x:v>59349.66101694915</x:v>
      </x:c>
      <x:c r="E10" s="9" t="n">
        <x:f>'Допущения'!C33*'Допущения'!$B$8*'Допущения'!D33*$B10*(1+'Допущения'!$B$13)^0</x:f>
        <x:v>128590.93220338982</x:v>
      </x:c>
      <x:c r="F10" s="9" t="n">
        <x:f>'Допущения'!C34*'Допущения'!$B$8*'Допущения'!D34*$B10*(1+'Допущения'!$B$13)^0</x:f>
        <x:v>267073.4745762712</x:v>
      </x:c>
      <x:c r="G10" s="9" t="n">
        <x:f>'Допущения'!C35*'Допущения'!$B$8*'Допущения'!D35*$B10*(1+'Допущения'!$B$13)^0</x:f>
        <x:v>445122.4576271186</x:v>
      </x:c>
      <x:c r="H10" s="9" t="n">
        <x:f>'Допущения'!C36*'Допущения'!$B$8*'Допущения'!D36*$B10*(1+'Допущения'!$B$13)^0</x:f>
        <x:v>44512.245762711864</x:v>
      </x:c>
      <x:c r="I10" s="9" t="n">
        <x:f>'Допущения'!C37*'Допущения'!$B$8*'Допущения'!D37*$B10*(1+'Допущения'!$B$13)^0</x:f>
        <x:v>0</x:v>
      </x:c>
      <x:c r="J10" s="7" t="n">
        <x:f>SUM(C10:I10)</x:f>
        <x:v>2190991.6525423727</x:v>
      </x:c>
      <x:c r="K10" s="9" t="n">
        <x:f>J10/(1+'Допущения'!$B$9)</x:f>
        <x:v>2086658.7167070215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275740.40920096845</x:v>
      </x:c>
      <x:c r="M10" s="9" t="n">
        <x:f>J10*'Допущения'!$B$11</x:f>
        <x:v>43819.833050847454</x:v>
      </x:c>
      <x:c r="N10" s="9" t="n">
        <x:f>'Инвестиции'!$C$35*(1+'Допущения'!$B$14)^0</x:f>
        <x:v>1099996.8399999999</x:v>
      </x:c>
      <x:c r="O10" s="9" t="n">
        <x:f>K10*'Допущения'!$B$10</x:f>
        <x:v>125199.52300242128</x:v>
      </x:c>
      <x:c r="P10" s="9" t="n">
        <x:f>K10*'Допущения'!$B$12</x:f>
        <x:v>41733.17433414043</x:v>
      </x:c>
      <x:c r="Q10" s="7" t="n">
        <x:f>K10-L10-M10-N10</x:f>
        <x:v>667101.6344552056</x:v>
      </x:c>
      <x:c r="R10" s="7" t="n">
        <x:f>Q10-O10-P10</x:f>
        <x:v>500168.93711864395</x:v>
      </x:c>
      <x:c r="S10" s="7" t="n">
        <x:f>S9+R10</x:f>
        <x:v>-13231838.741271185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13.488559322033899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1334048.4915254237</x:v>
      </x:c>
      <x:c r="D11" s="9" t="n">
        <x:f>'Допущения'!C32*'Допущения'!$B$8*'Допущения'!D32*$B11*(1+'Допущения'!$B$13)^0</x:f>
        <x:v>63526.11864406779</x:v>
      </x:c>
      <x:c r="E11" s="9" t="n">
        <x:f>'Допущения'!C33*'Допущения'!$B$8*'Допущения'!D33*$B11*(1+'Допущения'!$B$13)^0</x:f>
        <x:v>137639.92372881353</x:v>
      </x:c>
      <x:c r="F11" s="9" t="n">
        <x:f>'Допущения'!C34*'Допущения'!$B$8*'Допущения'!D34*$B11*(1+'Допущения'!$B$13)^0</x:f>
        <x:v>285867.5338983051</x:v>
      </x:c>
      <x:c r="G11" s="9" t="n">
        <x:f>'Допущения'!C35*'Допущения'!$B$8*'Допущения'!D35*$B11*(1+'Допущения'!$B$13)^0</x:f>
        <x:v>476445.8898305084</x:v>
      </x:c>
      <x:c r="H11" s="9" t="n">
        <x:f>'Допущения'!C36*'Допущения'!$B$8*'Допущения'!D36*$B11*(1+'Допущения'!$B$13)^0</x:f>
        <x:v>47644.58898305084</x:v>
      </x:c>
      <x:c r="I11" s="9" t="n">
        <x:f>'Допущения'!C37*'Допущения'!$B$8*'Допущения'!D37*$B11*(1+'Допущения'!$B$13)^0</x:f>
        <x:v>0</x:v>
      </x:c>
      <x:c r="J11" s="7" t="n">
        <x:f>SUM(C11:I11)</x:f>
        <x:v>2345172.5466101696</x:v>
      </x:c>
      <x:c r="K11" s="9" t="n">
        <x:f>J11/(1+'Допущения'!$B$9)</x:f>
        <x:v>2233497.663438257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295144.3639225181</x:v>
      </x:c>
      <x:c r="M11" s="9" t="n">
        <x:f>J11*'Допущения'!$B$11</x:f>
        <x:v>46903.45093220339</x:v>
      </x:c>
      <x:c r="N11" s="9" t="n">
        <x:f>'Инвестиции'!$C$35*(1+'Допущения'!$B$14)^0</x:f>
        <x:v>1099996.8399999999</x:v>
      </x:c>
      <x:c r="O11" s="9" t="n">
        <x:f>K11*'Допущения'!$B$10</x:f>
        <x:v>134009.8598062954</x:v>
      </x:c>
      <x:c r="P11" s="9" t="n">
        <x:f>K11*'Допущения'!$B$12</x:f>
        <x:v>44669.95326876514</x:v>
      </x:c>
      <x:c r="Q11" s="7" t="n">
        <x:f>K11-L11-M11-N11</x:f>
        <x:v>791453.0085835354</x:v>
      </x:c>
      <x:c r="R11" s="7" t="n">
        <x:f>Q11-O11-P11</x:f>
        <x:v>612773.195508475</x:v>
      </x:c>
      <x:c r="S11" s="7" t="n">
        <x:f>S10+R11</x:f>
        <x:v>-12619065.54576271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14.437754237288134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1163253.3559322034</x:v>
      </x:c>
      <x:c r="D12" s="9" t="n">
        <x:f>'Допущения'!C32*'Допущения'!$B$8*'Допущения'!D32*$B12*(1+'Допущения'!$B$13)^0</x:f>
        <x:v>55393.01694915253</x:v>
      </x:c>
      <x:c r="E12" s="9" t="n">
        <x:f>'Допущения'!C33*'Допущения'!$B$8*'Допущения'!D33*$B12*(1+'Допущения'!$B$13)^0</x:f>
        <x:v>120018.2033898305</x:v>
      </x:c>
      <x:c r="F12" s="9" t="n">
        <x:f>'Допущения'!C34*'Допущения'!$B$8*'Допущения'!D34*$B12*(1+'Допущения'!$B$13)^0</x:f>
        <x:v>249268.57627118644</x:v>
      </x:c>
      <x:c r="G12" s="9" t="n">
        <x:f>'Допущения'!C35*'Допущения'!$B$8*'Допущения'!D35*$B12*(1+'Допущения'!$B$13)^0</x:f>
        <x:v>415447.627118644</x:v>
      </x:c>
      <x:c r="H12" s="9" t="n">
        <x:f>'Допущения'!C36*'Допущения'!$B$8*'Допущения'!D36*$B12*(1+'Допущения'!$B$13)^0</x:f>
        <x:v>41544.7627118644</x:v>
      </x:c>
      <x:c r="I12" s="9" t="n">
        <x:f>'Допущения'!C37*'Допущения'!$B$8*'Допущения'!D37*$B12*(1+'Допущения'!$B$13)^0</x:f>
        <x:v>0</x:v>
      </x:c>
      <x:c r="J12" s="7" t="n">
        <x:f>SUM(C12:I12)</x:f>
        <x:v>2044925.5423728812</x:v>
      </x:c>
      <x:c r="K12" s="9" t="n">
        <x:f>J12/(1+'Допущения'!$B$9)</x:f>
        <x:v>1947548.1355932201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257357.71525423724</x:v>
      </x:c>
      <x:c r="M12" s="9" t="n">
        <x:f>J12*'Допущения'!$B$11</x:f>
        <x:v>40898.51084745763</x:v>
      </x:c>
      <x:c r="N12" s="9" t="n">
        <x:f>'Инвестиции'!$C$35*(1+'Допущения'!$B$14)^0</x:f>
        <x:v>1099996.8399999999</x:v>
      </x:c>
      <x:c r="O12" s="9" t="n">
        <x:f>K12*'Допущения'!$B$10</x:f>
        <x:v>116852.88813559321</x:v>
      </x:c>
      <x:c r="P12" s="9" t="n">
        <x:f>K12*'Допущения'!$B$12</x:f>
        <x:v>38950.962711864406</x:v>
      </x:c>
      <x:c r="Q12" s="7" t="n">
        <x:f>K12-L12-M12-N12</x:f>
        <x:v>549295.0694915254</x:v>
      </x:c>
      <x:c r="R12" s="7" t="n">
        <x:f>Q12-O12-P12</x:f>
        <x:v>393491.2186440678</x:v>
      </x:c>
      <x:c r="S12" s="7" t="n">
        <x:f>S11+R12</x:f>
        <x:v>-12225574.327118643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12.589322033898304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1315584.152542373</x:v>
      </x:c>
      <x:c r="D13" s="9" t="n">
        <x:f>'Допущения'!C32*'Допущения'!$B$8*'Допущения'!D32*$B13*(1+'Допущения'!$B$13)^0</x:f>
        <x:v>62646.864406779656</x:v>
      </x:c>
      <x:c r="E13" s="9" t="n">
        <x:f>'Допущения'!C33*'Допущения'!$B$8*'Допущения'!D33*$B13*(1+'Допущения'!$B$13)^0</x:f>
        <x:v>135734.87288135593</x:v>
      </x:c>
      <x:c r="F13" s="9" t="n">
        <x:f>'Допущения'!C34*'Допущения'!$B$8*'Допущения'!D34*$B13*(1+'Допущения'!$B$13)^0</x:f>
        <x:v>281910.8898305085</x:v>
      </x:c>
      <x:c r="G13" s="9" t="n">
        <x:f>'Допущения'!C35*'Допущения'!$B$8*'Допущения'!D35*$B13*(1+'Допущения'!$B$13)^0</x:f>
        <x:v>469851.4830508474</x:v>
      </x:c>
      <x:c r="H13" s="9" t="n">
        <x:f>'Допущения'!C36*'Допущения'!$B$8*'Допущения'!D36*$B13*(1+'Допущения'!$B$13)^0</x:f>
        <x:v>46985.148305084746</x:v>
      </x:c>
      <x:c r="I13" s="9" t="n">
        <x:f>'Допущения'!C37*'Допущения'!$B$8*'Допущения'!D37*$B13*(1+'Допущения'!$B$13)^0</x:f>
        <x:v>0</x:v>
      </x:c>
      <x:c r="J13" s="7" t="n">
        <x:f>SUM(C13:I13)</x:f>
        <x:v>2312713.411016949</x:v>
      </x:c>
      <x:c r="K13" s="9" t="n">
        <x:f>J13/(1+'Допущения'!$B$9)</x:f>
        <x:v>2202584.2009685226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291059.3208232445</x:v>
      </x:c>
      <x:c r="M13" s="9" t="n">
        <x:f>J13*'Допущения'!$B$11</x:f>
        <x:v>46254.26822033898</x:v>
      </x:c>
      <x:c r="N13" s="9" t="n">
        <x:f>'Инвестиции'!$C$35*(1+'Допущения'!$B$14)^0</x:f>
        <x:v>1099996.8399999999</x:v>
      </x:c>
      <x:c r="O13" s="9" t="n">
        <x:f>K13*'Допущения'!$B$10</x:f>
        <x:v>132155.05205811135</x:v>
      </x:c>
      <x:c r="P13" s="9" t="n">
        <x:f>K13*'Допущения'!$B$12</x:f>
        <x:v>44051.684019370456</x:v>
      </x:c>
      <x:c r="Q13" s="7" t="n">
        <x:f>K13-L13-M13-N13</x:f>
        <x:v>765273.7719249392</x:v>
      </x:c>
      <x:c r="R13" s="7" t="n">
        <x:f>Q13-O13-P13</x:f>
        <x:v>589067.0358474574</x:v>
      </x:c>
      <x:c r="S13" s="7" t="n">
        <x:f>S12+R13</x:f>
        <x:v>-11636507.291271186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14.237923728813557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1477147.1186440678</x:v>
      </x:c>
      <x:c r="D14" s="9" t="n">
        <x:f>'Допущения'!C32*'Допущения'!$B$8*'Допущения'!D32*$B14*(1+'Допущения'!$B$13)^0</x:f>
        <x:v>70340.33898305084</x:v>
      </x:c>
      <x:c r="E14" s="9" t="n">
        <x:f>'Допущения'!C33*'Допущения'!$B$8*'Допущения'!D33*$B14*(1+'Допущения'!$B$13)^0</x:f>
        <x:v>152404.06779661015</x:v>
      </x:c>
      <x:c r="F14" s="9" t="n">
        <x:f>'Допущения'!C34*'Допущения'!$B$8*'Допущения'!D34*$B14*(1+'Допущения'!$B$13)^0</x:f>
        <x:v>316531.52542372886</x:v>
      </x:c>
      <x:c r="G14" s="9" t="n">
        <x:f>'Допущения'!C35*'Допущения'!$B$8*'Допущения'!D35*$B14*(1+'Допущения'!$B$13)^0</x:f>
        <x:v>527552.5423728813</x:v>
      </x:c>
      <x:c r="H14" s="9" t="n">
        <x:f>'Допущения'!C36*'Допущения'!$B$8*'Допущения'!D36*$B14*(1+'Допущения'!$B$13)^0</x:f>
        <x:v>52755.25423728813</x:v>
      </x:c>
      <x:c r="I14" s="9" t="n">
        <x:f>'Допущения'!C37*'Допущения'!$B$8*'Допущения'!D37*$B14*(1+'Допущения'!$B$13)^0</x:f>
        <x:v>0</x:v>
      </x:c>
      <x:c r="J14" s="7" t="n">
        <x:f>SUM(C14:I14)</x:f>
        <x:v>2596730.847457627</x:v>
      </x:c>
      <x:c r="K14" s="9" t="n">
        <x:f>J14/(1+'Допущения'!$B$9)</x:f>
        <x:v>2473076.997578692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326803.4479418886</x:v>
      </x:c>
      <x:c r="M14" s="9" t="n">
        <x:f>J14*'Допущения'!$B$11</x:f>
        <x:v>51934.616949152536</x:v>
      </x:c>
      <x:c r="N14" s="9" t="n">
        <x:f>'Инвестиции'!$C$35*(1+'Допущения'!$B$14)^0</x:f>
        <x:v>1099996.8399999999</x:v>
      </x:c>
      <x:c r="O14" s="9" t="n">
        <x:f>K14*'Допущения'!$B$10</x:f>
        <x:v>148384.61985472153</x:v>
      </x:c>
      <x:c r="P14" s="9" t="n">
        <x:f>K14*'Допущения'!$B$12</x:f>
        <x:v>49461.539951573846</x:v>
      </x:c>
      <x:c r="Q14" s="7" t="n">
        <x:f>K14-L14-M14-N14</x:f>
        <x:v>994342.0926876513</x:v>
      </x:c>
      <x:c r="R14" s="7" t="n">
        <x:f>Q14-O14-P14</x:f>
        <x:v>796495.932881356</x:v>
      </x:c>
      <x:c r="S14" s="7" t="n">
        <x:f>S13+R14</x:f>
        <x:v>-10840011.35838983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15.986440677966101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1938755.5932203394</x:v>
      </x:c>
      <x:c r="D15" s="9" t="n">
        <x:f>'Допущения'!C32*'Допущения'!$B$8*'Допущения'!D32*$B15*(1+'Допущения'!$B$13)^0</x:f>
        <x:v>92321.69491525424</x:v>
      </x:c>
      <x:c r="E15" s="9" t="n">
        <x:f>'Допущения'!C33*'Допущения'!$B$8*'Допущения'!D33*$B15*(1+'Допущения'!$B$13)^0</x:f>
        <x:v>200030.33898305087</x:v>
      </x:c>
      <x:c r="F15" s="9" t="n">
        <x:f>'Допущения'!C34*'Допущения'!$B$8*'Допущения'!D34*$B15*(1+'Допущения'!$B$13)^0</x:f>
        <x:v>415447.62711864413</x:v>
      </x:c>
      <x:c r="G15" s="9" t="n">
        <x:f>'Допущения'!C35*'Допущения'!$B$8*'Допущения'!D35*$B15*(1+'Допущения'!$B$13)^0</x:f>
        <x:v>692412.7118644068</x:v>
      </x:c>
      <x:c r="H15" s="9" t="n">
        <x:f>'Допущения'!C36*'Допущения'!$B$8*'Допущения'!D36*$B15*(1+'Допущения'!$B$13)^0</x:f>
        <x:v>69241.27118644067</x:v>
      </x:c>
      <x:c r="I15" s="9" t="n">
        <x:f>'Допущения'!C37*'Допущения'!$B$8*'Допущения'!D37*$B15*(1+'Допущения'!$B$13)^0</x:f>
        <x:v>0</x:v>
      </x:c>
      <x:c r="J15" s="7" t="n">
        <x:f>SUM(C15:I15)</x:f>
        <x:v>3408209.237288136</x:v>
      </x:c>
      <x:c r="K15" s="9" t="n">
        <x:f>J15/(1+'Допущения'!$B$9)</x:f>
        <x:v>3245913.559322034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428929.5254237288</x:v>
      </x:c>
      <x:c r="M15" s="9" t="n">
        <x:f>J15*'Допущения'!$B$11</x:f>
        <x:v>68164.18474576272</x:v>
      </x:c>
      <x:c r="N15" s="9" t="n">
        <x:f>'Инвестиции'!$C$35*(1+'Допущения'!$B$14)^0</x:f>
        <x:v>1099996.8399999999</x:v>
      </x:c>
      <x:c r="O15" s="9" t="n">
        <x:f>K15*'Допущения'!$B$10</x:f>
        <x:v>194754.81355932204</x:v>
      </x:c>
      <x:c r="P15" s="9" t="n">
        <x:f>K15*'Допущения'!$B$12</x:f>
        <x:v>64918.27118644068</x:v>
      </x:c>
      <x:c r="Q15" s="7" t="n">
        <x:f>K15-L15-M15-N15</x:f>
        <x:v>1648823.0091525428</x:v>
      </x:c>
      <x:c r="R15" s="7" t="n">
        <x:f>Q15-O15-P15</x:f>
        <x:v>1389149.92440678</x:v>
      </x:c>
      <x:c r="S15" s="7" t="n">
        <x:f>S14+R15</x:f>
        <x:v>-9450861.43398305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20.982203389830513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2123398.9830508474</x:v>
      </x:c>
      <x:c r="D16" s="9" t="n">
        <x:f>'Допущения'!C32*'Допущения'!$B$8*'Допущения'!D32*$B16*(1+'Допущения'!$B$13)^0</x:f>
        <x:v>101114.23728813557</x:v>
      </x:c>
      <x:c r="E16" s="9" t="n">
        <x:f>'Допущения'!C33*'Допущения'!$B$8*'Допущения'!D33*$B16*(1+'Допущения'!$B$13)^0</x:f>
        <x:v>219080.84745762707</x:v>
      </x:c>
      <x:c r="F16" s="9" t="n">
        <x:f>'Допущения'!C34*'Допущения'!$B$8*'Допущения'!D34*$B16*(1+'Допущения'!$B$13)^0</x:f>
        <x:v>455014.0677966101</x:v>
      </x:c>
      <x:c r="G16" s="9" t="n">
        <x:f>'Допущения'!C35*'Допущения'!$B$8*'Допущения'!D35*$B16*(1+'Допущения'!$B$13)^0</x:f>
        <x:v>758356.7796610168</x:v>
      </x:c>
      <x:c r="H16" s="9" t="n">
        <x:f>'Допущения'!C36*'Допущения'!$B$8*'Допущения'!D36*$B16*(1+'Допущения'!$B$13)^0</x:f>
        <x:v>75835.67796610168</x:v>
      </x:c>
      <x:c r="I16" s="9" t="n">
        <x:f>'Допущения'!C37*'Допущения'!$B$8*'Допущения'!D37*$B16*(1+'Допущения'!$B$13)^0</x:f>
        <x:v>0</x:v>
      </x:c>
      <x:c r="J16" s="7" t="n">
        <x:f>SUM(C16:I16)</x:f>
        <x:v>3732800.5932203387</x:v>
      </x:c>
      <x:c r="K16" s="9" t="n">
        <x:f>J16/(1+'Допущения'!$B$9)</x:f>
        <x:v>3555048.18401937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469779.9564164648</x:v>
      </x:c>
      <x:c r="M16" s="9" t="n">
        <x:f>J16*'Допущения'!$B$11</x:f>
        <x:v>74656.01186440677</x:v>
      </x:c>
      <x:c r="N16" s="9" t="n">
        <x:f>'Инвестиции'!$C$35*(1+'Допущения'!$B$14)^0</x:f>
        <x:v>1099996.8399999999</x:v>
      </x:c>
      <x:c r="O16" s="9" t="n">
        <x:f>K16*'Допущения'!$B$10</x:f>
        <x:v>213302.8910411622</x:v>
      </x:c>
      <x:c r="P16" s="9" t="n">
        <x:f>K16*'Допущения'!$B$12</x:f>
        <x:v>71100.9636803874</x:v>
      </x:c>
      <x:c r="Q16" s="7" t="n">
        <x:f>K16-L16-M16-N16</x:f>
        <x:v>1910615.3757384983</x:v>
      </x:c>
      <x:c r="R16" s="7" t="n">
        <x:f>Q16-O16-P16</x:f>
        <x:v>1626211.5210169486</x:v>
      </x:c>
      <x:c r="S16" s="7" t="n">
        <x:f>S15+R16</x:f>
        <x:v>-7824649.912966101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22.98050847457627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2215720.6779661016</x:v>
      </x:c>
      <x:c r="D17" s="9" t="n">
        <x:f>'Допущения'!C32*'Допущения'!$B$8*'Допущения'!D32*$B17*(1+'Допущения'!$B$13)^0</x:f>
        <x:v>105510.50847457626</x:v>
      </x:c>
      <x:c r="E17" s="9" t="n">
        <x:f>'Допущения'!C33*'Допущения'!$B$8*'Допущения'!D33*$B17*(1+'Допущения'!$B$13)^0</x:f>
        <x:v>228606.10169491524</x:v>
      </x:c>
      <x:c r="F17" s="9" t="n">
        <x:f>'Допущения'!C34*'Допущения'!$B$8*'Допущения'!D34*$B17*(1+'Допущения'!$B$13)^0</x:f>
        <x:v>474797.28813559323</x:v>
      </x:c>
      <x:c r="G17" s="9" t="n">
        <x:f>'Допущения'!C35*'Допущения'!$B$8*'Допущения'!D35*$B17*(1+'Допущения'!$B$13)^0</x:f>
        <x:v>791328.8135593219</x:v>
      </x:c>
      <x:c r="H17" s="9" t="n">
        <x:f>'Допущения'!C36*'Допущения'!$B$8*'Допущения'!D36*$B17*(1+'Допущения'!$B$13)^0</x:f>
        <x:v>79132.8813559322</x:v>
      </x:c>
      <x:c r="I17" s="9" t="n">
        <x:f>'Допущения'!C37*'Допущения'!$B$8*'Допущения'!D37*$B17*(1+'Допущения'!$B$13)^0</x:f>
        <x:v>0</x:v>
      </x:c>
      <x:c r="J17" s="7" t="n">
        <x:f>SUM(C17:I17)</x:f>
        <x:v>3895096.2711864403</x:v>
      </x:c>
      <x:c r="K17" s="9" t="n">
        <x:f>J17/(1+'Допущения'!$B$9)</x:f>
        <x:v>3709615.496368038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490205.1719128329</x:v>
      </x:c>
      <x:c r="M17" s="9" t="n">
        <x:f>J17*'Допущения'!$B$11</x:f>
        <x:v>77901.92542372881</x:v>
      </x:c>
      <x:c r="N17" s="9" t="n">
        <x:f>'Инвестиции'!$C$35*(1+'Допущения'!$B$14)^0</x:f>
        <x:v>1099996.8399999999</x:v>
      </x:c>
      <x:c r="O17" s="9" t="n">
        <x:f>K17*'Допущения'!$B$10</x:f>
        <x:v>222576.92978208227</x:v>
      </x:c>
      <x:c r="P17" s="9" t="n">
        <x:f>K17*'Допущения'!$B$12</x:f>
        <x:v>74192.30992736077</x:v>
      </x:c>
      <x:c r="Q17" s="7" t="n">
        <x:f>K17-L17-M17-N17</x:f>
        <x:v>2041511.5590314767</x:v>
      </x:c>
      <x:c r="R17" s="7" t="n">
        <x:f>Q17-O17-P17</x:f>
        <x:v>1744742.3193220336</x:v>
      </x:c>
      <x:c r="S17" s="7" t="n">
        <x:f>S16+R17</x:f>
        <x:v>-6079907.593644068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23.97966101694915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2308042.372881356</x:v>
      </x:c>
      <x:c r="D18" s="9" t="n">
        <x:f>'Допущения'!C32*'Допущения'!$B$8*'Допущения'!D32*$B18*(1+'Допущения'!$B$13)^0</x:f>
        <x:v>109906.77966101695</x:v>
      </x:c>
      <x:c r="E18" s="9" t="n">
        <x:f>'Допущения'!C33*'Допущения'!$B$8*'Допущения'!D33*$B18*(1+'Допущения'!$B$13)^0</x:f>
        <x:v>238131.35593220338</x:v>
      </x:c>
      <x:c r="F18" s="9" t="n">
        <x:f>'Допущения'!C34*'Допущения'!$B$8*'Допущения'!D34*$B18*(1+'Допущения'!$B$13)^0</x:f>
        <x:v>494580.50847457635</x:v>
      </x:c>
      <x:c r="G18" s="9" t="n">
        <x:f>'Допущения'!C35*'Допущения'!$B$8*'Допущения'!D35*$B18*(1+'Допущения'!$B$13)^0</x:f>
        <x:v>824300.8474576271</x:v>
      </x:c>
      <x:c r="H18" s="9" t="n">
        <x:f>'Допущения'!C36*'Допущения'!$B$8*'Допущения'!D36*$B18*(1+'Допущения'!$B$13)^0</x:f>
        <x:v>82430.08474576271</x:v>
      </x:c>
      <x:c r="I18" s="9" t="n">
        <x:f>'Допущения'!C37*'Допущения'!$B$8*'Допущения'!D37*$B18*(1+'Допущения'!$B$13)^0</x:f>
        <x:v>0</x:v>
      </x:c>
      <x:c r="J18" s="7" t="n">
        <x:f>SUM(C18:I18)</x:f>
        <x:v>4057391.949152543</x:v>
      </x:c>
      <x:c r="K18" s="9" t="n">
        <x:f>J18/(1+'Допущения'!$B$9)</x:f>
        <x:v>3864182.808716708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510630.38740920095</x:v>
      </x:c>
      <x:c r="M18" s="9" t="n">
        <x:f>J18*'Допущения'!$B$11</x:f>
        <x:v>81147.83898305087</x:v>
      </x:c>
      <x:c r="N18" s="9" t="n">
        <x:f>'Инвестиции'!$C$35*(1+'Допущения'!$B$14)^0</x:f>
        <x:v>1099996.8399999999</x:v>
      </x:c>
      <x:c r="O18" s="9" t="n">
        <x:f>K18*'Допущения'!$B$10</x:f>
        <x:v>231850.96852300246</x:v>
      </x:c>
      <x:c r="P18" s="9" t="n">
        <x:f>K18*'Допущения'!$B$12</x:f>
        <x:v>77283.65617433416</x:v>
      </x:c>
      <x:c r="Q18" s="7" t="n">
        <x:f>K18-L18-M18-N18</x:f>
        <x:v>2172407.742324456</x:v>
      </x:c>
      <x:c r="R18" s="7" t="n">
        <x:f>Q18-O18-P18</x:f>
        <x:v>1863273.1176271194</x:v>
      </x:c>
      <x:c r="S18" s="7" t="n">
        <x:f>S17+R18</x:f>
        <x:v>-4216634.476016948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24.97881355932203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2092009.6067796617</x:v>
      </x:c>
      <x:c r="D19" s="9" t="n">
        <x:f>'Допущения'!C32*'Допущения'!$B$8*'Допущения'!D32*$B19*(1+'Допущения'!$B$13)^1</x:f>
        <x:v>99619.50508474578</x:v>
      </x:c>
      <x:c r="E19" s="9" t="n">
        <x:f>'Допущения'!C33*'Допущения'!$B$8*'Допущения'!D33*$B19*(1+'Допущения'!$B$13)^1</x:f>
        <x:v>215842.2610169492</x:v>
      </x:c>
      <x:c r="F19" s="9" t="n">
        <x:f>'Допущения'!C34*'Допущения'!$B$8*'Допущения'!D34*$B19*(1+'Допущения'!$B$13)^1</x:f>
        <x:v>448287.77288135607</x:v>
      </x:c>
      <x:c r="G19" s="9" t="n">
        <x:f>'Допущения'!C35*'Допущения'!$B$8*'Допущения'!D35*$B19*(1+'Допущения'!$B$13)^1</x:f>
        <x:v>747146.2881355934</x:v>
      </x:c>
      <x:c r="H19" s="9" t="n">
        <x:f>'Допущения'!C36*'Допущения'!$B$8*'Допущения'!D36*$B19*(1+'Допущения'!$B$13)^1</x:f>
        <x:v>74714.62881355933</x:v>
      </x:c>
      <x:c r="I19" s="9" t="n">
        <x:f>'Допущения'!C37*'Допущения'!$B$8*'Допущения'!D37*$B19*(1+'Допущения'!$B$13)^1</x:f>
        <x:v>0</x:v>
      </x:c>
      <x:c r="J19" s="7" t="n">
        <x:f>SUM(C19:I19)</x:f>
        <x:v>3677620.062711865</x:v>
      </x:c>
      <x:c r="K19" s="9" t="n">
        <x:f>J19/(1+'Допущения'!$B$9)</x:f>
        <x:v>3502495.2978208237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462835.3831476999</x:v>
      </x:c>
      <x:c r="M19" s="9" t="n">
        <x:f>J19*'Допущения'!$B$11</x:f>
        <x:v>73552.40125423731</x:v>
      </x:c>
      <x:c r="N19" s="9" t="n">
        <x:f>'Инвестиции'!$C$35*(1+'Допущения'!$B$14)^1</x:f>
        <x:v>1154996.6819999998</x:v>
      </x:c>
      <x:c r="O19" s="9" t="n">
        <x:f>K19*'Допущения'!$B$10</x:f>
        <x:v>210149.7178692494</x:v>
      </x:c>
      <x:c r="P19" s="9" t="n">
        <x:f>K19*'Допущения'!$B$12</x:f>
        <x:v>70049.90595641648</x:v>
      </x:c>
      <x:c r="Q19" s="7" t="n">
        <x:f>K19-L19-M19-N19</x:f>
        <x:v>1811110.831418887</x:v>
      </x:c>
      <x:c r="R19" s="7" t="n">
        <x:f>Q19-O19-P19</x:f>
        <x:v>1530911.2075932212</x:v>
      </x:c>
      <x:c r="S19" s="7" t="n">
        <x:f>S18+R19</x:f>
        <x:v>-2685723.268423727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21.981355932203396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1996918.2610169495</x:v>
      </x:c>
      <x:c r="D20" s="9" t="n">
        <x:f>'Допущения'!C32*'Допущения'!$B$8*'Допущения'!D32*$B20*(1+'Допущения'!$B$13)^1</x:f>
        <x:v>95091.34576271186</x:v>
      </x:c>
      <x:c r="E20" s="9" t="n">
        <x:f>'Допущения'!C33*'Допущения'!$B$8*'Допущения'!D33*$B20*(1+'Допущения'!$B$13)^1</x:f>
        <x:v>206031.2491525424</x:v>
      </x:c>
      <x:c r="F20" s="9" t="n">
        <x:f>'Допущения'!C34*'Допущения'!$B$8*'Допущения'!D34*$B20*(1+'Допущения'!$B$13)^1</x:f>
        <x:v>427911.0559322035</x:v>
      </x:c>
      <x:c r="G20" s="9" t="n">
        <x:f>'Допущения'!C35*'Допущения'!$B$8*'Допущения'!D35*$B20*(1+'Допущения'!$B$13)^1</x:f>
        <x:v>713185.093220339</x:v>
      </x:c>
      <x:c r="H20" s="9" t="n">
        <x:f>'Допущения'!C36*'Допущения'!$B$8*'Допущения'!D36*$B20*(1+'Допущения'!$B$13)^1</x:f>
        <x:v>71318.50932203389</x:v>
      </x:c>
      <x:c r="I20" s="9" t="n">
        <x:f>'Допущения'!C37*'Допущения'!$B$8*'Допущения'!D37*$B20*(1+'Допущения'!$B$13)^1</x:f>
        <x:v>0</x:v>
      </x:c>
      <x:c r="J20" s="7" t="n">
        <x:f>SUM(C20:I20)</x:f>
        <x:v>3510455.5144067802</x:v>
      </x:c>
      <x:c r="K20" s="9" t="n">
        <x:f>J20/(1+'Допущения'!$B$9)</x:f>
        <x:v>3343290.9661016953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441797.41118644073</x:v>
      </x:c>
      <x:c r="M20" s="9" t="n">
        <x:f>J20*'Допущения'!$B$11</x:f>
        <x:v>70209.1102881356</x:v>
      </x:c>
      <x:c r="N20" s="9" t="n">
        <x:f>'Инвестиции'!$C$35*(1+'Допущения'!$B$14)^1</x:f>
        <x:v>1154996.6819999998</x:v>
      </x:c>
      <x:c r="O20" s="9" t="n">
        <x:f>K20*'Допущения'!$B$10</x:f>
        <x:v>200597.4579661017</x:v>
      </x:c>
      <x:c r="P20" s="9" t="n">
        <x:f>K20*'Допущения'!$B$12</x:f>
        <x:v>66865.8193220339</x:v>
      </x:c>
      <x:c r="Q20" s="7" t="n">
        <x:f>K20-L20-M20-N20</x:f>
        <x:v>1676287.762627119</x:v>
      </x:c>
      <x:c r="R20" s="7" t="n">
        <x:f>Q20-O20-P20</x:f>
        <x:v>1408824.4853389836</x:v>
      </x:c>
      <x:c r="S20" s="7" t="n">
        <x:f>S19+R20</x:f>
        <x:v>-1276898.7830847432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20.982203389830513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1901826.9152542374</x:v>
      </x:c>
      <x:c r="D21" s="9" t="n">
        <x:f>'Допущения'!C32*'Допущения'!$B$8*'Допущения'!D32*$B21*(1+'Допущения'!$B$13)^1</x:f>
        <x:v>90563.18644067796</x:v>
      </x:c>
      <x:c r="E21" s="9" t="n">
        <x:f>'Допущения'!C33*'Допущения'!$B$8*'Допущения'!D33*$B21*(1+'Допущения'!$B$13)^1</x:f>
        <x:v>196220.23728813557</x:v>
      </x:c>
      <x:c r="F21" s="9" t="n">
        <x:f>'Допущения'!C34*'Допущения'!$B$8*'Допущения'!D34*$B21*(1+'Допущения'!$B$13)^1</x:f>
        <x:v>407534.3389830509</x:v>
      </x:c>
      <x:c r="G21" s="9" t="n">
        <x:f>'Допущения'!C35*'Допущения'!$B$8*'Допущения'!D35*$B21*(1+'Допущения'!$B$13)^1</x:f>
        <x:v>679223.8983050848</x:v>
      </x:c>
      <x:c r="H21" s="9" t="n">
        <x:f>'Допущения'!C36*'Допущения'!$B$8*'Допущения'!D36*$B21*(1+'Допущения'!$B$13)^1</x:f>
        <x:v>67922.38983050847</x:v>
      </x:c>
      <x:c r="I21" s="9" t="n">
        <x:f>'Допущения'!C37*'Допущения'!$B$8*'Допущения'!D37*$B21*(1+'Допущения'!$B$13)^1</x:f>
        <x:v>0</x:v>
      </x:c>
      <x:c r="J21" s="7" t="n">
        <x:f>SUM(C21:I21)</x:f>
        <x:v>3343290.966101695</x:v>
      </x:c>
      <x:c r="K21" s="9" t="n">
        <x:f>J21/(1+'Допущения'!$B$9)</x:f>
        <x:v>3184086.6343825664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420759.4392251816</x:v>
      </x:c>
      <x:c r="M21" s="9" t="n">
        <x:f>J21*'Допущения'!$B$11</x:f>
        <x:v>66865.8193220339</x:v>
      </x:c>
      <x:c r="N21" s="9" t="n">
        <x:f>'Инвестиции'!$C$35*(1+'Допущения'!$B$14)^1</x:f>
        <x:v>1154996.6819999998</x:v>
      </x:c>
      <x:c r="O21" s="9" t="n">
        <x:f>K21*'Допущения'!$B$10</x:f>
        <x:v>191045.19806295398</x:v>
      </x:c>
      <x:c r="P21" s="9" t="n">
        <x:f>K21*'Допущения'!$B$12</x:f>
        <x:v>63681.73268765133</x:v>
      </x:c>
      <x:c r="Q21" s="7" t="n">
        <x:f>K21-L21-M21-N21</x:f>
        <x:v>1541464.6938353514</x:v>
      </x:c>
      <x:c r="R21" s="7" t="n">
        <x:f>Q21-O21-P21</x:f>
        <x:v>1286737.763084746</x:v>
      </x:c>
      <x:c r="S21" s="7" t="n">
        <x:f>S20+R21</x:f>
        <x:v>9838.980000002775</x:v>
      </x:c>
      <x:c r="T21" s="7" t="n">
        <x:f>IF(S21&gt;=0,A21,999)</x:f>
        <x:v>15</x:v>
      </x:c>
      <x:c r="U21" s="22" t="n">
        <x:f>'Допущения'!C31*'Допущения'!$B$8*B21*'Допущения'!$B$17/'Допущения'!$B$18/'Допущения'!$B$16</x:f>
        <x:v>19.98305084745763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1711644.223728814</x:v>
      </x:c>
      <x:c r="D22" s="9" t="n">
        <x:f>'Допущения'!C32*'Допущения'!$B$8*'Допущения'!D32*$B22*(1+'Допущения'!$B$13)^1</x:f>
        <x:v>81506.86779661017</x:v>
      </x:c>
      <x:c r="E22" s="9" t="n">
        <x:f>'Допущения'!C33*'Допущения'!$B$8*'Допущения'!D33*$B22*(1+'Допущения'!$B$13)^1</x:f>
        <x:v>176598.21355932203</x:v>
      </x:c>
      <x:c r="F22" s="9" t="n">
        <x:f>'Допущения'!C34*'Допущения'!$B$8*'Допущения'!D34*$B22*(1+'Допущения'!$B$13)^1</x:f>
        <x:v>366780.90508474584</x:v>
      </x:c>
      <x:c r="G22" s="9" t="n">
        <x:f>'Допущения'!C35*'Допущения'!$B$8*'Допущения'!D35*$B22*(1+'Допущения'!$B$13)^1</x:f>
        <x:v>611301.5084745763</x:v>
      </x:c>
      <x:c r="H22" s="9" t="n">
        <x:f>'Допущения'!C36*'Допущения'!$B$8*'Допущения'!D36*$B22*(1+'Допущения'!$B$13)^1</x:f>
        <x:v>61130.15084745763</x:v>
      </x:c>
      <x:c r="I22" s="9" t="n">
        <x:f>'Допущения'!C37*'Допущения'!$B$8*'Допущения'!D37*$B22*(1+'Допущения'!$B$13)^1</x:f>
        <x:v>0</x:v>
      </x:c>
      <x:c r="J22" s="7" t="n">
        <x:f>SUM(C22:I22)</x:f>
        <x:v>3008961.869491526</x:v>
      </x:c>
      <x:c r="K22" s="9" t="n">
        <x:f>J22/(1+'Допущения'!$B$9)</x:f>
        <x:v>2865677.97094431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378683.4953026634</x:v>
      </x:c>
      <x:c r="M22" s="9" t="n">
        <x:f>J22*'Допущения'!$B$11</x:f>
        <x:v>60179.23738983052</x:v>
      </x:c>
      <x:c r="N22" s="9" t="n">
        <x:f>'Инвестиции'!$C$35*(1+'Допущения'!$B$14)^1</x:f>
        <x:v>1154996.6819999998</x:v>
      </x:c>
      <x:c r="O22" s="9" t="n">
        <x:f>K22*'Допущения'!$B$10</x:f>
        <x:v>171940.6782566586</x:v>
      </x:c>
      <x:c r="P22" s="9" t="n">
        <x:f>K22*'Допущения'!$B$12</x:f>
        <x:v>57313.5594188862</x:v>
      </x:c>
      <x:c r="Q22" s="7" t="n">
        <x:f>K22-L22-M22-N22</x:f>
        <x:v>1271818.5562518162</x:v>
      </x:c>
      <x:c r="R22" s="7" t="n">
        <x:f>Q22-O22-P22</x:f>
        <x:v>1042564.3185762714</x:v>
      </x:c>
      <x:c r="S22" s="7" t="n">
        <x:f>S21+R22</x:f>
        <x:v>1052403.2985762742</x:v>
      </x:c>
      <x:c r="T22" s="7" t="n">
        <x:f>IF(S22&gt;=0,A22,999)</x:f>
        <x:v>16</x:v>
      </x:c>
      <x:c r="U22" s="22" t="n">
        <x:f>'Допущения'!C31*'Допущения'!$B$8*B22*'Допущения'!$B$17/'Допущения'!$B$18/'Допущения'!$B$16</x:f>
        <x:v>17.984745762711867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1616552.8779661017</x:v>
      </x:c>
      <x:c r="D23" s="9" t="n">
        <x:f>'Допущения'!C32*'Допущения'!$B$8*'Допущения'!D32*$B23*(1+'Допущения'!$B$13)^1</x:f>
        <x:v>76978.70847457625</x:v>
      </x:c>
      <x:c r="E23" s="9" t="n">
        <x:f>'Допущения'!C33*'Допущения'!$B$8*'Допущения'!D33*$B23*(1+'Допущения'!$B$13)^1</x:f>
        <x:v>166787.20169491525</x:v>
      </x:c>
      <x:c r="F23" s="9" t="n">
        <x:f>'Допущения'!C34*'Допущения'!$B$8*'Допущения'!D34*$B23*(1+'Допущения'!$B$13)^1</x:f>
        <x:v>346404.1881355932</x:v>
      </x:c>
      <x:c r="G23" s="9" t="n">
        <x:f>'Допущения'!C35*'Допущения'!$B$8*'Допущения'!D35*$B23*(1+'Допущения'!$B$13)^1</x:f>
        <x:v>577340.3135593219</x:v>
      </x:c>
      <x:c r="H23" s="9" t="n">
        <x:f>'Допущения'!C36*'Допущения'!$B$8*'Допущения'!D36*$B23*(1+'Допущения'!$B$13)^1</x:f>
        <x:v>57734.0313559322</x:v>
      </x:c>
      <x:c r="I23" s="9" t="n">
        <x:f>'Допущения'!C37*'Допущения'!$B$8*'Допущения'!D37*$B23*(1+'Допущения'!$B$13)^1</x:f>
        <x:v>0</x:v>
      </x:c>
      <x:c r="J23" s="7" t="n">
        <x:f>SUM(C23:I23)</x:f>
        <x:v>2841797.321186441</x:v>
      </x:c>
      <x:c r="K23" s="9" t="n">
        <x:f>J23/(1+'Допущения'!$B$9)</x:f>
        <x:v>2706473.6392251817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357645.5233414043</x:v>
      </x:c>
      <x:c r="M23" s="9" t="n">
        <x:f>J23*'Допущения'!$B$11</x:f>
        <x:v>56835.94642372882</x:v>
      </x:c>
      <x:c r="N23" s="9" t="n">
        <x:f>'Инвестиции'!$C$35*(1+'Допущения'!$B$14)^1</x:f>
        <x:v>1154996.6819999998</x:v>
      </x:c>
      <x:c r="O23" s="9" t="n">
        <x:f>K23*'Допущения'!$B$10</x:f>
        <x:v>162388.4183535109</x:v>
      </x:c>
      <x:c r="P23" s="9" t="n">
        <x:f>K23*'Допущения'!$B$12</x:f>
        <x:v>54129.47278450363</x:v>
      </x:c>
      <x:c r="Q23" s="7" t="n">
        <x:f>K23-L23-M23-N23</x:f>
        <x:v>1136995.4874600486</x:v>
      </x:c>
      <x:c r="R23" s="7" t="n">
        <x:f>Q23-O23-P23</x:f>
        <x:v>920477.5963220341</x:v>
      </x:c>
      <x:c r="S23" s="7" t="n">
        <x:f>S22+R23</x:f>
        <x:v>1972880.8948983084</x:v>
      </x:c>
      <x:c r="T23" s="7" t="n">
        <x:f>IF(S23&gt;=0,A23,999)</x:f>
        <x:v>17</x:v>
      </x:c>
      <x:c r="U23" s="22" t="n">
        <x:f>'Допущения'!C31*'Допущения'!$B$8*B23*'Допущения'!$B$17/'Допущения'!$B$18/'Допущения'!$B$16</x:f>
        <x:v>16.985593220338984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1331278.8406779661</x:v>
      </x:c>
      <x:c r="D24" s="9" t="n">
        <x:f>'Допущения'!C32*'Допущения'!$B$8*'Допущения'!D32*$B24*(1+'Допущения'!$B$13)^1</x:f>
        <x:v>63394.23050847457</x:v>
      </x:c>
      <x:c r="E24" s="9" t="n">
        <x:f>'Допущения'!C33*'Допущения'!$B$8*'Допущения'!D33*$B24*(1+'Допущения'!$B$13)^1</x:f>
        <x:v>137354.1661016949</x:v>
      </x:c>
      <x:c r="F24" s="9" t="n">
        <x:f>'Допущения'!C34*'Допущения'!$B$8*'Допущения'!D34*$B24*(1+'Допущения'!$B$13)^1</x:f>
        <x:v>285274.03728813556</x:v>
      </x:c>
      <x:c r="G24" s="9" t="n">
        <x:f>'Допущения'!C35*'Допущения'!$B$8*'Допущения'!D35*$B24*(1+'Допущения'!$B$13)^1</x:f>
        <x:v>475456.7288135592</x:v>
      </x:c>
      <x:c r="H24" s="9" t="n">
        <x:f>'Допущения'!C36*'Допущения'!$B$8*'Допущения'!D36*$B24*(1+'Допущения'!$B$13)^1</x:f>
        <x:v>47545.672881355924</x:v>
      </x:c>
      <x:c r="I24" s="9" t="n">
        <x:f>'Допущения'!C37*'Допущения'!$B$8*'Допущения'!D37*$B24*(1+'Допущения'!$B$13)^1</x:f>
        <x:v>0</x:v>
      </x:c>
      <x:c r="J24" s="7" t="n">
        <x:f>SUM(C24:I24)</x:f>
        <x:v>2340303.676271186</x:v>
      </x:c>
      <x:c r="K24" s="9" t="n">
        <x:f>J24/(1+'Допущения'!$B$9)</x:f>
        <x:v>2228860.6440677964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294531.607457627</x:v>
      </x:c>
      <x:c r="M24" s="9" t="n">
        <x:f>J24*'Допущения'!$B$11</x:f>
        <x:v>46806.07352542372</x:v>
      </x:c>
      <x:c r="N24" s="9" t="n">
        <x:f>'Инвестиции'!$C$35*(1+'Допущения'!$B$14)^1</x:f>
        <x:v>1154996.6819999998</x:v>
      </x:c>
      <x:c r="O24" s="9" t="n">
        <x:f>K24*'Допущения'!$B$10</x:f>
        <x:v>133731.63864406777</x:v>
      </x:c>
      <x:c r="P24" s="9" t="n">
        <x:f>K24*'Допущения'!$B$12</x:f>
        <x:v>44577.21288135593</x:v>
      </x:c>
      <x:c r="Q24" s="7" t="n">
        <x:f>K24-L24-M24-N24</x:f>
        <x:v>732526.2810847459</x:v>
      </x:c>
      <x:c r="R24" s="7" t="n">
        <x:f>Q24-O24-P24</x:f>
        <x:v>554217.4295593222</x:v>
      </x:c>
      <x:c r="S24" s="7" t="n">
        <x:f>S23+R24</x:f>
        <x:v>2527098.3244576305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13.988135593220337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1426370.186440678</x:v>
      </x:c>
      <x:c r="D25" s="9" t="n">
        <x:f>'Допущения'!C32*'Допущения'!$B$8*'Допущения'!D32*$B25*(1+'Допущения'!$B$13)^1</x:f>
        <x:v>67922.38983050847</x:v>
      </x:c>
      <x:c r="E25" s="9" t="n">
        <x:f>'Допущения'!C33*'Допущения'!$B$8*'Допущения'!D33*$B25*(1+'Допущения'!$B$13)^1</x:f>
        <x:v>147165.1779661017</x:v>
      </x:c>
      <x:c r="F25" s="9" t="n">
        <x:f>'Допущения'!C34*'Допущения'!$B$8*'Допущения'!D34*$B25*(1+'Допущения'!$B$13)^1</x:f>
        <x:v>305650.7542372882</x:v>
      </x:c>
      <x:c r="G25" s="9" t="n">
        <x:f>'Допущения'!C35*'Допущения'!$B$8*'Допущения'!D35*$B25*(1+'Допущения'!$B$13)^1</x:f>
        <x:v>509417.92372881353</x:v>
      </x:c>
      <x:c r="H25" s="9" t="n">
        <x:f>'Допущения'!C36*'Допущения'!$B$8*'Допущения'!D36*$B25*(1+'Допущения'!$B$13)^1</x:f>
        <x:v>50941.792372881355</x:v>
      </x:c>
      <x:c r="I25" s="9" t="n">
        <x:f>'Допущения'!C37*'Допущения'!$B$8*'Допущения'!D37*$B25*(1+'Допущения'!$B$13)^1</x:f>
        <x:v>0</x:v>
      </x:c>
      <x:c r="J25" s="7" t="n">
        <x:f>SUM(C25:I25)</x:f>
        <x:v>2507468.2245762716</x:v>
      </x:c>
      <x:c r="K25" s="9" t="n">
        <x:f>J25/(1+'Допущения'!$B$9)</x:f>
        <x:v>2388064.9757869253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315569.5794188862</x:v>
      </x:c>
      <x:c r="M25" s="9" t="n">
        <x:f>J25*'Допущения'!$B$11</x:f>
        <x:v>50149.36449152543</x:v>
      </x:c>
      <x:c r="N25" s="9" t="n">
        <x:f>'Инвестиции'!$C$35*(1+'Допущения'!$B$14)^1</x:f>
        <x:v>1154996.6819999998</x:v>
      </x:c>
      <x:c r="O25" s="9" t="n">
        <x:f>K25*'Допущения'!$B$10</x:f>
        <x:v>143283.8985472155</x:v>
      </x:c>
      <x:c r="P25" s="9" t="n">
        <x:f>K25*'Допущения'!$B$12</x:f>
        <x:v>47761.29951573851</x:v>
      </x:c>
      <x:c r="Q25" s="7" t="n">
        <x:f>K25-L25-M25-N25</x:f>
        <x:v>867349.3498765139</x:v>
      </x:c>
      <x:c r="R25" s="7" t="n">
        <x:f>Q25-O25-P25</x:f>
        <x:v>676304.1518135599</x:v>
      </x:c>
      <x:c r="S25" s="7" t="n">
        <x:f>S24+R25</x:f>
        <x:v>3203402.4762711907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14.98728813559322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1521461.5322033898</x:v>
      </x:c>
      <x:c r="D26" s="9" t="n">
        <x:f>'Допущения'!C32*'Допущения'!$B$8*'Допущения'!D32*$B26*(1+'Допущения'!$B$13)^1</x:f>
        <x:v>72450.54915254237</x:v>
      </x:c>
      <x:c r="E26" s="9" t="n">
        <x:f>'Допущения'!C33*'Допущения'!$B$8*'Допущения'!D33*$B26*(1+'Допущения'!$B$13)^1</x:f>
        <x:v>156976.18983050846</x:v>
      </x:c>
      <x:c r="F26" s="9" t="n">
        <x:f>'Допущения'!C34*'Допущения'!$B$8*'Допущения'!D34*$B26*(1+'Допущения'!$B$13)^1</x:f>
        <x:v>326027.4711864407</x:v>
      </x:c>
      <x:c r="G26" s="9" t="n">
        <x:f>'Допущения'!C35*'Допущения'!$B$8*'Допущения'!D35*$B26*(1+'Допущения'!$B$13)^1</x:f>
        <x:v>543379.1186440678</x:v>
      </x:c>
      <x:c r="H26" s="9" t="n">
        <x:f>'Допущения'!C36*'Допущения'!$B$8*'Допущения'!D36*$B26*(1+'Допущения'!$B$13)^1</x:f>
        <x:v>54337.91186440677</x:v>
      </x:c>
      <x:c r="I26" s="9" t="n">
        <x:f>'Допущения'!C37*'Допущения'!$B$8*'Допущения'!D37*$B26*(1+'Допущения'!$B$13)^1</x:f>
        <x:v>0</x:v>
      </x:c>
      <x:c r="J26" s="7" t="n">
        <x:f>SUM(C26:I26)</x:f>
        <x:v>2674632.772881356</x:v>
      </x:c>
      <x:c r="K26" s="9" t="n">
        <x:f>J26/(1+'Допущения'!$B$9)</x:f>
        <x:v>2547269.3075060532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336607.5513801453</x:v>
      </x:c>
      <x:c r="M26" s="9" t="n">
        <x:f>J26*'Допущения'!$B$11</x:f>
        <x:v>53492.65545762712</x:v>
      </x:c>
      <x:c r="N26" s="9" t="n">
        <x:f>'Инвестиции'!$C$35*(1+'Допущения'!$B$14)^1</x:f>
        <x:v>1154996.6819999998</x:v>
      </x:c>
      <x:c r="O26" s="9" t="n">
        <x:f>K26*'Допущения'!$B$10</x:f>
        <x:v>152836.15845036317</x:v>
      </x:c>
      <x:c r="P26" s="9" t="n">
        <x:f>K26*'Допущения'!$B$12</x:f>
        <x:v>50945.38615012106</x:v>
      </x:c>
      <x:c r="Q26" s="7" t="n">
        <x:f>K26-L26-M26-N26</x:f>
        <x:v>1002172.418668281</x:v>
      </x:c>
      <x:c r="R26" s="7" t="n">
        <x:f>Q26-O26-P26</x:f>
        <x:v>798390.8740677967</x:v>
      </x:c>
      <x:c r="S26" s="7" t="n">
        <x:f>S25+R26</x:f>
        <x:v>4001793.3503389875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15.986440677966101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1996918.2610169495</x:v>
      </x:c>
      <x:c r="D27" s="9" t="n">
        <x:f>'Допущения'!C32*'Допущения'!$B$8*'Допущения'!D32*$B27*(1+'Допущения'!$B$13)^1</x:f>
        <x:v>95091.34576271186</x:v>
      </x:c>
      <x:c r="E27" s="9" t="n">
        <x:f>'Допущения'!C33*'Допущения'!$B$8*'Допущения'!D33*$B27*(1+'Допущения'!$B$13)^1</x:f>
        <x:v>206031.2491525424</x:v>
      </x:c>
      <x:c r="F27" s="9" t="n">
        <x:f>'Допущения'!C34*'Допущения'!$B$8*'Допущения'!D34*$B27*(1+'Допущения'!$B$13)^1</x:f>
        <x:v>427911.0559322035</x:v>
      </x:c>
      <x:c r="G27" s="9" t="n">
        <x:f>'Допущения'!C35*'Допущения'!$B$8*'Допущения'!D35*$B27*(1+'Допущения'!$B$13)^1</x:f>
        <x:v>713185.093220339</x:v>
      </x:c>
      <x:c r="H27" s="9" t="n">
        <x:f>'Допущения'!C36*'Допущения'!$B$8*'Допущения'!D36*$B27*(1+'Допущения'!$B$13)^1</x:f>
        <x:v>71318.50932203389</x:v>
      </x:c>
      <x:c r="I27" s="9" t="n">
        <x:f>'Допущения'!C37*'Допущения'!$B$8*'Допущения'!D37*$B27*(1+'Допущения'!$B$13)^1</x:f>
        <x:v>0</x:v>
      </x:c>
      <x:c r="J27" s="7" t="n">
        <x:f>SUM(C27:I27)</x:f>
        <x:v>3510455.5144067802</x:v>
      </x:c>
      <x:c r="K27" s="9" t="n">
        <x:f>J27/(1+'Допущения'!$B$9)</x:f>
        <x:v>3343290.9661016953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441797.41118644073</x:v>
      </x:c>
      <x:c r="M27" s="9" t="n">
        <x:f>J27*'Допущения'!$B$11</x:f>
        <x:v>70209.1102881356</x:v>
      </x:c>
      <x:c r="N27" s="9" t="n">
        <x:f>'Инвестиции'!$C$35*(1+'Допущения'!$B$14)^1</x:f>
        <x:v>1154996.6819999998</x:v>
      </x:c>
      <x:c r="O27" s="9" t="n">
        <x:f>K27*'Допущения'!$B$10</x:f>
        <x:v>200597.4579661017</x:v>
      </x:c>
      <x:c r="P27" s="9" t="n">
        <x:f>K27*'Допущения'!$B$12</x:f>
        <x:v>66865.8193220339</x:v>
      </x:c>
      <x:c r="Q27" s="7" t="n">
        <x:f>K27-L27-M27-N27</x:f>
        <x:v>1676287.762627119</x:v>
      </x:c>
      <x:c r="R27" s="7" t="n">
        <x:f>Q27-O27-P27</x:f>
        <x:v>1408824.4853389836</x:v>
      </x:c>
      <x:c r="S27" s="7" t="n">
        <x:f>S26+R27</x:f>
        <x:v>5410617.835677971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20.982203389830513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2187100.952542373</x:v>
      </x:c>
      <x:c r="D28" s="9" t="n">
        <x:f>'Допущения'!C32*'Допущения'!$B$8*'Допущения'!D32*$B28*(1+'Допущения'!$B$13)^1</x:f>
        <x:v>104147.66440677964</x:v>
      </x:c>
      <x:c r="E28" s="9" t="n">
        <x:f>'Допущения'!C33*'Допущения'!$B$8*'Допущения'!D33*$B28*(1+'Допущения'!$B$13)^1</x:f>
        <x:v>225653.2728813559</x:v>
      </x:c>
      <x:c r="F28" s="9" t="n">
        <x:f>'Допущения'!C34*'Допущения'!$B$8*'Допущения'!D34*$B28*(1+'Допущения'!$B$13)^1</x:f>
        <x:v>468664.4898305084</x:v>
      </x:c>
      <x:c r="G28" s="9" t="n">
        <x:f>'Допущения'!C35*'Допущения'!$B$8*'Допущения'!D35*$B28*(1+'Допущения'!$B$13)^1</x:f>
        <x:v>781107.4830508473</x:v>
      </x:c>
      <x:c r="H28" s="9" t="n">
        <x:f>'Допущения'!C36*'Допущения'!$B$8*'Допущения'!D36*$B28*(1+'Допущения'!$B$13)^1</x:f>
        <x:v>78110.74830508472</x:v>
      </x:c>
      <x:c r="I28" s="9" t="n">
        <x:f>'Допущения'!C37*'Допущения'!$B$8*'Допущения'!D37*$B28*(1+'Допущения'!$B$13)^1</x:f>
        <x:v>0</x:v>
      </x:c>
      <x:c r="J28" s="7" t="n">
        <x:f>SUM(C28:I28)</x:f>
        <x:v>3844784.611016949</x:v>
      </x:c>
      <x:c r="K28" s="9" t="n">
        <x:f>J28/(1+'Допущения'!$B$9)</x:f>
        <x:v>3661699.629539951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483873.35510895867</x:v>
      </x:c>
      <x:c r="M28" s="9" t="n">
        <x:f>J28*'Допущения'!$B$11</x:f>
        <x:v>76895.69222033898</x:v>
      </x:c>
      <x:c r="N28" s="9" t="n">
        <x:f>'Инвестиции'!$C$35*(1+'Допущения'!$B$14)^1</x:f>
        <x:v>1154996.6819999998</x:v>
      </x:c>
      <x:c r="O28" s="9" t="n">
        <x:f>K28*'Допущения'!$B$10</x:f>
        <x:v>219701.97777239708</x:v>
      </x:c>
      <x:c r="P28" s="9" t="n">
        <x:f>K28*'Допущения'!$B$12</x:f>
        <x:v>73233.99259079903</x:v>
      </x:c>
      <x:c r="Q28" s="7" t="n">
        <x:f>K28-L28-M28-N28</x:f>
        <x:v>1945933.9002106537</x:v>
      </x:c>
      <x:c r="R28" s="7" t="n">
        <x:f>Q28-O28-P28</x:f>
        <x:v>1652997.9298474577</x:v>
      </x:c>
      <x:c r="S28" s="7" t="n">
        <x:f>S27+R28</x:f>
        <x:v>7063615.765525429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22.98050847457627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2282192.2983050845</x:v>
      </x:c>
      <x:c r="D29" s="9" t="n">
        <x:f>'Допущения'!C32*'Допущения'!$B$8*'Допущения'!D32*$B29*(1+'Допущения'!$B$13)^1</x:f>
        <x:v>108675.82372881354</x:v>
      </x:c>
      <x:c r="E29" s="9" t="n">
        <x:f>'Допущения'!C33*'Допущения'!$B$8*'Допущения'!D33*$B29*(1+'Допущения'!$B$13)^1</x:f>
        <x:v>235464.2847457627</x:v>
      </x:c>
      <x:c r="F29" s="9" t="n">
        <x:f>'Допущения'!C34*'Допущения'!$B$8*'Допущения'!D34*$B29*(1+'Допущения'!$B$13)^1</x:f>
        <x:v>489041.20677966106</x:v>
      </x:c>
      <x:c r="G29" s="9" t="n">
        <x:f>'Допущения'!C35*'Допущения'!$B$8*'Допущения'!D35*$B29*(1+'Допущения'!$B$13)^1</x:f>
        <x:v>815068.6779661016</x:v>
      </x:c>
      <x:c r="H29" s="9" t="n">
        <x:f>'Допущения'!C36*'Допущения'!$B$8*'Допущения'!D36*$B29*(1+'Допущения'!$B$13)^1</x:f>
        <x:v>81506.86779661017</x:v>
      </x:c>
      <x:c r="I29" s="9" t="n">
        <x:f>'Допущения'!C37*'Допущения'!$B$8*'Допущения'!D37*$B29*(1+'Допущения'!$B$13)^1</x:f>
        <x:v>0</x:v>
      </x:c>
      <x:c r="J29" s="7" t="n">
        <x:f>SUM(C29:I29)</x:f>
        <x:v>4011949.159322033</x:v>
      </x:c>
      <x:c r="K29" s="9" t="n">
        <x:f>J29/(1+'Допущения'!$B$9)</x:f>
        <x:v>3820903.961259079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504911.32707021787</x:v>
      </x:c>
      <x:c r="M29" s="9" t="n">
        <x:f>J29*'Допущения'!$B$11</x:f>
        <x:v>80238.98318644066</x:v>
      </x:c>
      <x:c r="N29" s="9" t="n">
        <x:f>'Инвестиции'!$C$35*(1+'Допущения'!$B$14)^1</x:f>
        <x:v>1154996.6819999998</x:v>
      </x:c>
      <x:c r="O29" s="9" t="n">
        <x:f>K29*'Допущения'!$B$10</x:f>
        <x:v>229254.23767554475</x:v>
      </x:c>
      <x:c r="P29" s="9" t="n">
        <x:f>K29*'Допущения'!$B$12</x:f>
        <x:v>76418.07922518159</x:v>
      </x:c>
      <x:c r="Q29" s="7" t="n">
        <x:f>K29-L29-M29-N29</x:f>
        <x:v>2080756.9690024208</x:v>
      </x:c>
      <x:c r="R29" s="7" t="n">
        <x:f>Q29-O29-P29</x:f>
        <x:v>1775084.6521016944</x:v>
      </x:c>
      <x:c r="S29" s="7" t="n">
        <x:f>S28+R29</x:f>
        <x:v>8838700.417627122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23.97966101694915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2377283.644067797</x:v>
      </x:c>
      <x:c r="D30" s="9" t="n">
        <x:f>'Допущения'!C32*'Допущения'!$B$8*'Допущения'!D32*$B30*(1+'Допущения'!$B$13)^1</x:f>
        <x:v>113203.98305084746</x:v>
      </x:c>
      <x:c r="E30" s="9" t="n">
        <x:f>'Допущения'!C33*'Допущения'!$B$8*'Допущения'!D33*$B30*(1+'Допущения'!$B$13)^1</x:f>
        <x:v>245275.2966101695</x:v>
      </x:c>
      <x:c r="F30" s="9" t="n">
        <x:f>'Допущения'!C34*'Допущения'!$B$8*'Допущения'!D34*$B30*(1+'Допущения'!$B$13)^1</x:f>
        <x:v>509417.92372881365</x:v>
      </x:c>
      <x:c r="G30" s="9" t="n">
        <x:f>'Допущения'!C35*'Допущения'!$B$8*'Допущения'!D35*$B30*(1+'Допущения'!$B$13)^1</x:f>
        <x:v>849029.8728813559</x:v>
      </x:c>
      <x:c r="H30" s="9" t="n">
        <x:f>'Допущения'!C36*'Допущения'!$B$8*'Допущения'!D36*$B30*(1+'Допущения'!$B$13)^1</x:f>
        <x:v>84902.9872881356</x:v>
      </x:c>
      <x:c r="I30" s="9" t="n">
        <x:f>'Допущения'!C37*'Допущения'!$B$8*'Допущения'!D37*$B30*(1+'Допущения'!$B$13)^1</x:f>
        <x:v>0</x:v>
      </x:c>
      <x:c r="J30" s="7" t="n">
        <x:f>SUM(C30:I30)</x:f>
        <x:v>4179113.707627119</x:v>
      </x:c>
      <x:c r="K30" s="9" t="n">
        <x:f>J30/(1+'Допущения'!$B$9)</x:f>
        <x:v>3980108.2929782085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525949.299031477</x:v>
      </x:c>
      <x:c r="M30" s="9" t="n">
        <x:f>J30*'Допущения'!$B$11</x:f>
        <x:v>83582.27415254238</x:v>
      </x:c>
      <x:c r="N30" s="9" t="n">
        <x:f>'Инвестиции'!$C$35*(1+'Допущения'!$B$14)^1</x:f>
        <x:v>1154996.6819999998</x:v>
      </x:c>
      <x:c r="O30" s="9" t="n">
        <x:f>K30*'Допущения'!$B$10</x:f>
        <x:v>238806.4975786925</x:v>
      </x:c>
      <x:c r="P30" s="9" t="n">
        <x:f>K30*'Допущения'!$B$12</x:f>
        <x:v>79602.16585956418</x:v>
      </x:c>
      <x:c r="Q30" s="7" t="n">
        <x:f>K30-L30-M30-N30</x:f>
        <x:v>2215580.0377941895</x:v>
      </x:c>
      <x:c r="R30" s="7" t="n">
        <x:f>Q30-O30-P30</x:f>
        <x:v>1897171.3743559327</x:v>
      </x:c>
      <x:c r="S30" s="7" t="n">
        <x:f>S29+R30</x:f>
        <x:v>10735871.791983055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24.97881355932203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2154769.8949830513</x:v>
      </x:c>
      <x:c r="D31" s="9" t="n">
        <x:f>'Допущения'!C32*'Допущения'!$B$8*'Допущения'!D32*$B31*(1+'Допущения'!$B$13)^2</x:f>
        <x:v>102608.09023728814</x:v>
      </x:c>
      <x:c r="E31" s="9" t="n">
        <x:f>'Допущения'!C33*'Допущения'!$B$8*'Допущения'!D33*$B31*(1+'Допущения'!$B$13)^2</x:f>
        <x:v>222317.52884745764</x:v>
      </x:c>
      <x:c r="F31" s="9" t="n">
        <x:f>'Допущения'!C34*'Допущения'!$B$8*'Допущения'!D34*$B31*(1+'Допущения'!$B$13)^2</x:f>
        <x:v>461736.40606779675</x:v>
      </x:c>
      <x:c r="G31" s="9" t="n">
        <x:f>'Допущения'!C35*'Допущения'!$B$8*'Допущения'!D35*$B31*(1+'Допущения'!$B$13)^2</x:f>
        <x:v>769560.6767796611</x:v>
      </x:c>
      <x:c r="H31" s="9" t="n">
        <x:f>'Допущения'!C36*'Допущения'!$B$8*'Допущения'!D36*$B31*(1+'Допущения'!$B$13)^2</x:f>
        <x:v>76956.06767796612</x:v>
      </x:c>
      <x:c r="I31" s="9" t="n">
        <x:f>'Допущения'!C37*'Допущения'!$B$8*'Допущения'!D37*$B31*(1+'Допущения'!$B$13)^2</x:f>
        <x:v>0</x:v>
      </x:c>
      <x:c r="J31" s="7" t="n">
        <x:f>SUM(C31:I31)</x:f>
        <x:v>3787948.6645932216</x:v>
      </x:c>
      <x:c r="K31" s="9" t="n">
        <x:f>J31/(1+'Допущения'!$B$9)</x:f>
        <x:v>3607570.156755449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476720.44464213075</x:v>
      </x:c>
      <x:c r="M31" s="9" t="n">
        <x:f>J31*'Допущения'!$B$11</x:f>
        <x:v>75758.97329186443</x:v>
      </x:c>
      <x:c r="N31" s="9" t="n">
        <x:f>'Инвестиции'!$C$35*(1+'Допущения'!$B$14)^2</x:f>
        <x:v>1212746.5161</x:v>
      </x:c>
      <x:c r="O31" s="9" t="n">
        <x:f>K31*'Допущения'!$B$10</x:f>
        <x:v>216454.20940532692</x:v>
      </x:c>
      <x:c r="P31" s="9" t="n">
        <x:f>K31*'Допущения'!$B$12</x:f>
        <x:v>72151.40313510898</x:v>
      </x:c>
      <x:c r="Q31" s="7" t="n">
        <x:f>K31-L31-M31-N31</x:f>
        <x:v>1842344.2227214535</x:v>
      </x:c>
      <x:c r="R31" s="7" t="n">
        <x:f>Q31-O31-P31</x:f>
        <x:v>1553738.6101810175</x:v>
      </x:c>
      <x:c r="S31" s="7" t="n">
        <x:f>S30+R31</x:f>
        <x:v>12289610.402164072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21.981355932203396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2056825.8088474579</x:v>
      </x:c>
      <x:c r="D32" s="9" t="n">
        <x:f>'Допущения'!C32*'Допущения'!$B$8*'Допущения'!D32*$B32*(1+'Допущения'!$B$13)^2</x:f>
        <x:v>97944.08613559321</x:v>
      </x:c>
      <x:c r="E32" s="9" t="n">
        <x:f>'Допущения'!C33*'Допущения'!$B$8*'Допущения'!D33*$B32*(1+'Допущения'!$B$13)^2</x:f>
        <x:v>212212.18662711864</x:v>
      </x:c>
      <x:c r="F32" s="9" t="n">
        <x:f>'Допущения'!C34*'Допущения'!$B$8*'Допущения'!D34*$B32*(1+'Допущения'!$B$13)^2</x:f>
        <x:v>440748.38761016954</x:v>
      </x:c>
      <x:c r="G32" s="9" t="n">
        <x:f>'Допущения'!C35*'Допущения'!$B$8*'Допущения'!D35*$B32*(1+'Допущения'!$B$13)^2</x:f>
        <x:v>734580.6460169492</x:v>
      </x:c>
      <x:c r="H32" s="9" t="n">
        <x:f>'Допущения'!C36*'Допущения'!$B$8*'Допущения'!D36*$B32*(1+'Допущения'!$B$13)^2</x:f>
        <x:v>73458.0646016949</x:v>
      </x:c>
      <x:c r="I32" s="9" t="n">
        <x:f>'Допущения'!C37*'Допущения'!$B$8*'Допущения'!D37*$B32*(1+'Допущения'!$B$13)^2</x:f>
        <x:v>0</x:v>
      </x:c>
      <x:c r="J32" s="7" t="n">
        <x:f>SUM(C32:I32)</x:f>
        <x:v>3615769.1798389833</x:v>
      </x:c>
      <x:c r="K32" s="9" t="n">
        <x:f>J32/(1+'Допущения'!$B$9)</x:f>
        <x:v>3443589.695084746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455051.3335220339</x:v>
      </x:c>
      <x:c r="M32" s="9" t="n">
        <x:f>J32*'Допущения'!$B$11</x:f>
        <x:v>72315.38359677966</x:v>
      </x:c>
      <x:c r="N32" s="9" t="n">
        <x:f>'Инвестиции'!$C$35*(1+'Допущения'!$B$14)^2</x:f>
        <x:v>1212746.5161</x:v>
      </x:c>
      <x:c r="O32" s="9" t="n">
        <x:f>K32*'Допущения'!$B$10</x:f>
        <x:v>206615.38170508476</x:v>
      </x:c>
      <x:c r="P32" s="9" t="n">
        <x:f>K32*'Допущения'!$B$12</x:f>
        <x:v>68871.79390169492</x:v>
      </x:c>
      <x:c r="Q32" s="7" t="n">
        <x:f>K32-L32-M32-N32</x:f>
        <x:v>1703476.4618659324</x:v>
      </x:c>
      <x:c r="R32" s="7" t="n">
        <x:f>Q32-O32-P32</x:f>
        <x:v>1427989.2862591527</x:v>
      </x:c>
      <x:c r="S32" s="7" t="n">
        <x:f>S31+R32</x:f>
        <x:v>13717599.688423224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20.982203389830513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1958881.7227118644</x:v>
      </x:c>
      <x:c r="D33" s="9" t="n">
        <x:f>'Допущения'!C32*'Допущения'!$B$8*'Допущения'!D32*$B33*(1+'Допущения'!$B$13)^2</x:f>
        <x:v>93280.08203389829</x:v>
      </x:c>
      <x:c r="E33" s="9" t="n">
        <x:f>'Допущения'!C33*'Допущения'!$B$8*'Допущения'!D33*$B33*(1+'Допущения'!$B$13)^2</x:f>
        <x:v>202106.84440677962</x:v>
      </x:c>
      <x:c r="F33" s="9" t="n">
        <x:f>'Допущения'!C34*'Допущения'!$B$8*'Допущения'!D34*$B33*(1+'Допущения'!$B$13)^2</x:f>
        <x:v>419760.36915254244</x:v>
      </x:c>
      <x:c r="G33" s="9" t="n">
        <x:f>'Допущения'!C35*'Допущения'!$B$8*'Допущения'!D35*$B33*(1+'Допущения'!$B$13)^2</x:f>
        <x:v>699600.6152542372</x:v>
      </x:c>
      <x:c r="H33" s="9" t="n">
        <x:f>'Допущения'!C36*'Допущения'!$B$8*'Допущения'!D36*$B33*(1+'Допущения'!$B$13)^2</x:f>
        <x:v>69960.06152542372</x:v>
      </x:c>
      <x:c r="I33" s="9" t="n">
        <x:f>'Допущения'!C37*'Допущения'!$B$8*'Допущения'!D37*$B33*(1+'Допущения'!$B$13)^2</x:f>
        <x:v>0</x:v>
      </x:c>
      <x:c r="J33" s="7" t="n">
        <x:f>SUM(C33:I33)</x:f>
        <x:v>3443589.6950847455</x:v>
      </x:c>
      <x:c r="K33" s="9" t="n">
        <x:f>J33/(1+'Допущения'!$B$9)</x:f>
        <x:v>3279609.233414043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433382.222401937</x:v>
      </x:c>
      <x:c r="M33" s="9" t="n">
        <x:f>J33*'Допущения'!$B$11</x:f>
        <x:v>68871.79390169491</x:v>
      </x:c>
      <x:c r="N33" s="9" t="n">
        <x:f>'Инвестиции'!$C$35*(1+'Допущения'!$B$14)^2</x:f>
        <x:v>1212746.5161</x:v>
      </x:c>
      <x:c r="O33" s="9" t="n">
        <x:f>K33*'Допущения'!$B$10</x:f>
        <x:v>196776.5540048426</x:v>
      </x:c>
      <x:c r="P33" s="9" t="n">
        <x:f>K33*'Допущения'!$B$12</x:f>
        <x:v>65592.18466828087</x:v>
      </x:c>
      <x:c r="Q33" s="7" t="n">
        <x:f>K33-L33-M33-N33</x:f>
        <x:v>1564608.7010104114</x:v>
      </x:c>
      <x:c r="R33" s="7" t="n">
        <x:f>Q33-O33-P33</x:f>
        <x:v>1302239.9623372878</x:v>
      </x:c>
      <x:c r="S33" s="7" t="n">
        <x:f>S32+R33</x:f>
        <x:v>15019839.650760511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19.98305084745763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1762993.5504406781</x:v>
      </x:c>
      <x:c r="D34" s="9" t="n">
        <x:f>'Допущения'!C32*'Допущения'!$B$8*'Допущения'!D32*$B34*(1+'Допущения'!$B$13)^2</x:f>
        <x:v>83952.07383050847</x:v>
      </x:c>
      <x:c r="E34" s="9" t="n">
        <x:f>'Допущения'!C33*'Допущения'!$B$8*'Допущения'!D33*$B34*(1+'Допущения'!$B$13)^2</x:f>
        <x:v>181896.1599661017</x:v>
      </x:c>
      <x:c r="F34" s="9" t="n">
        <x:f>'Допущения'!C34*'Допущения'!$B$8*'Допущения'!D34*$B34*(1+'Допущения'!$B$13)^2</x:f>
        <x:v>377784.3322372882</x:v>
      </x:c>
      <x:c r="G34" s="9" t="n">
        <x:f>'Допущения'!C35*'Допущения'!$B$8*'Допущения'!D35*$B34*(1+'Допущения'!$B$13)^2</x:f>
        <x:v>629640.5537288135</x:v>
      </x:c>
      <x:c r="H34" s="9" t="n">
        <x:f>'Допущения'!C36*'Допущения'!$B$8*'Допущения'!D36*$B34*(1+'Допущения'!$B$13)^2</x:f>
        <x:v>62964.055372881354</x:v>
      </x:c>
      <x:c r="I34" s="9" t="n">
        <x:f>'Допущения'!C37*'Допущения'!$B$8*'Допущения'!D37*$B34*(1+'Допущения'!$B$13)^2</x:f>
        <x:v>0</x:v>
      </x:c>
      <x:c r="J34" s="7" t="n">
        <x:f>SUM(C34:I34)</x:f>
        <x:v>3099230.725576271</x:v>
      </x:c>
      <x:c r="K34" s="9" t="n">
        <x:f>J34/(1+'Допущения'!$B$9)</x:f>
        <x:v>2951648.3100726386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390044.0001617433</x:v>
      </x:c>
      <x:c r="M34" s="9" t="n">
        <x:f>J34*'Допущения'!$B$11</x:f>
        <x:v>61984.61451152542</x:v>
      </x:c>
      <x:c r="N34" s="9" t="n">
        <x:f>'Инвестиции'!$C$35*(1+'Допущения'!$B$14)^2</x:f>
        <x:v>1212746.5161</x:v>
      </x:c>
      <x:c r="O34" s="9" t="n">
        <x:f>K34*'Допущения'!$B$10</x:f>
        <x:v>177098.8986043583</x:v>
      </x:c>
      <x:c r="P34" s="9" t="n">
        <x:f>K34*'Допущения'!$B$12</x:f>
        <x:v>59032.96620145277</x:v>
      </x:c>
      <x:c r="Q34" s="7" t="n">
        <x:f>K34-L34-M34-N34</x:f>
        <x:v>1286873.1792993702</x:v>
      </x:c>
      <x:c r="R34" s="7" t="n">
        <x:f>Q34-O34-P34</x:f>
        <x:v>1050741.314493559</x:v>
      </x:c>
      <x:c r="S34" s="7" t="n">
        <x:f>S33+R34</x:f>
        <x:v>16070580.96525407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17.984745762711867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1665049.464305085</x:v>
      </x:c>
      <x:c r="D35" s="9" t="n">
        <x:f>'Допущения'!C32*'Допущения'!$B$8*'Допущения'!D32*$B35*(1+'Допущения'!$B$13)^2</x:f>
        <x:v>79288.06972881354</x:v>
      </x:c>
      <x:c r="E35" s="9" t="n">
        <x:f>'Допущения'!C33*'Допущения'!$B$8*'Допущения'!D33*$B35*(1+'Допущения'!$B$13)^2</x:f>
        <x:v>171790.8177457627</x:v>
      </x:c>
      <x:c r="F35" s="9" t="n">
        <x:f>'Допущения'!C34*'Допущения'!$B$8*'Допущения'!D34*$B35*(1+'Допущения'!$B$13)^2</x:f>
        <x:v>356796.31377966097</x:v>
      </x:c>
      <x:c r="G35" s="9" t="n">
        <x:f>'Допущения'!C35*'Допущения'!$B$8*'Допущения'!D35*$B35*(1+'Допущения'!$B$13)^2</x:f>
        <x:v>594660.5229661015</x:v>
      </x:c>
      <x:c r="H35" s="9" t="n">
        <x:f>'Допущения'!C36*'Допущения'!$B$8*'Допущения'!D36*$B35*(1+'Допущения'!$B$13)^2</x:f>
        <x:v>59466.05229661016</x:v>
      </x:c>
      <x:c r="I35" s="9" t="n">
        <x:f>'Допущения'!C37*'Допущения'!$B$8*'Допущения'!D37*$B35*(1+'Допущения'!$B$13)^2</x:f>
        <x:v>0</x:v>
      </x:c>
      <x:c r="J35" s="7" t="n">
        <x:f>SUM(C35:I35)</x:f>
        <x:v>2927051.2408220335</x:v>
      </x:c>
      <x:c r="K35" s="9" t="n">
        <x:f>J35/(1+'Допущения'!$B$9)</x:f>
        <x:v>2787667.8484019367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368374.8890416464</x:v>
      </x:c>
      <x:c r="M35" s="9" t="n">
        <x:f>J35*'Допущения'!$B$11</x:f>
        <x:v>58541.02481644067</x:v>
      </x:c>
      <x:c r="N35" s="9" t="n">
        <x:f>'Инвестиции'!$C$35*(1+'Допущения'!$B$14)^2</x:f>
        <x:v>1212746.5161</x:v>
      </x:c>
      <x:c r="O35" s="9" t="n">
        <x:f>K35*'Допущения'!$B$10</x:f>
        <x:v>167260.0709041162</x:v>
      </x:c>
      <x:c r="P35" s="9" t="n">
        <x:f>K35*'Допущения'!$B$12</x:f>
        <x:v>55753.35696803874</x:v>
      </x:c>
      <x:c r="Q35" s="7" t="n">
        <x:f>K35-L35-M35-N35</x:f>
        <x:v>1148005.4184438495</x:v>
      </x:c>
      <x:c r="R35" s="7" t="n">
        <x:f>Q35-O35-P35</x:f>
        <x:v>924991.9905716947</x:v>
      </x:c>
      <x:c r="S35" s="7" t="n">
        <x:f>S34+R35</x:f>
        <x:v>16995572.955825765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16.985593220338984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1371217.205898305</x:v>
      </x:c>
      <x:c r="D36" s="9" t="n">
        <x:f>'Допущения'!C32*'Допущения'!$B$8*'Допущения'!D32*$B36*(1+'Допущения'!$B$13)^2</x:f>
        <x:v>65296.0574237288</x:v>
      </x:c>
      <x:c r="E36" s="9" t="n">
        <x:f>'Допущения'!C33*'Допущения'!$B$8*'Допущения'!D33*$B36*(1+'Допущения'!$B$13)^2</x:f>
        <x:v>141474.79108474572</x:v>
      </x:c>
      <x:c r="F36" s="9" t="n">
        <x:f>'Допущения'!C34*'Допущения'!$B$8*'Допущения'!D34*$B36*(1+'Допущения'!$B$13)^2</x:f>
        <x:v>293832.2584067796</x:v>
      </x:c>
      <x:c r="G36" s="9" t="n">
        <x:f>'Допущения'!C35*'Допущения'!$B$8*'Допущения'!D35*$B36*(1+'Допущения'!$B$13)^2</x:f>
        <x:v>489720.430677966</x:v>
      </x:c>
      <x:c r="H36" s="9" t="n">
        <x:f>'Допущения'!C36*'Допущения'!$B$8*'Допущения'!D36*$B36*(1+'Допущения'!$B$13)^2</x:f>
        <x:v>48972.0430677966</x:v>
      </x:c>
      <x:c r="I36" s="9" t="n">
        <x:f>'Допущения'!C37*'Допущения'!$B$8*'Допущения'!D37*$B36*(1+'Допущения'!$B$13)^2</x:f>
        <x:v>0</x:v>
      </x:c>
      <x:c r="J36" s="7" t="n">
        <x:f>SUM(C36:I36)</x:f>
        <x:v>2410512.7865593215</x:v>
      </x:c>
      <x:c r="K36" s="9" t="n">
        <x:f>J36/(1+'Допущения'!$B$9)</x:f>
        <x:v>2295726.4633898297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303367.5556813558</x:v>
      </x:c>
      <x:c r="M36" s="9" t="n">
        <x:f>J36*'Допущения'!$B$11</x:f>
        <x:v>48210.25573118643</x:v>
      </x:c>
      <x:c r="N36" s="9" t="n">
        <x:f>'Инвестиции'!$C$35*(1+'Допущения'!$B$14)^2</x:f>
        <x:v>1212746.5161</x:v>
      </x:c>
      <x:c r="O36" s="9" t="n">
        <x:f>K36*'Допущения'!$B$10</x:f>
        <x:v>137743.5878033898</x:v>
      </x:c>
      <x:c r="P36" s="9" t="n">
        <x:f>K36*'Допущения'!$B$12</x:f>
        <x:v>45914.5292677966</x:v>
      </x:c>
      <x:c r="Q36" s="7" t="n">
        <x:f>K36-L36-M36-N36</x:f>
        <x:v>731402.1358772877</x:v>
      </x:c>
      <x:c r="R36" s="7" t="n">
        <x:f>Q36-O36-P36</x:f>
        <x:v>547744.0188061014</x:v>
      </x:c>
      <x:c r="S36" s="7" t="n">
        <x:f>S35+R36</x:f>
        <x:v>17543316.974631865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13.988135593220337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1469161.2920338984</x:v>
      </x:c>
      <x:c r="D37" s="9" t="n">
        <x:f>'Допущения'!C32*'Допущения'!$B$8*'Допущения'!D32*$B37*(1+'Допущения'!$B$13)^2</x:f>
        <x:v>69960.06152542372</x:v>
      </x:c>
      <x:c r="E37" s="9" t="n">
        <x:f>'Допущения'!C33*'Допущения'!$B$8*'Допущения'!D33*$B37*(1+'Допущения'!$B$13)^2</x:f>
        <x:v>151580.13330508475</x:v>
      </x:c>
      <x:c r="F37" s="9" t="n">
        <x:f>'Допущения'!C34*'Допущения'!$B$8*'Допущения'!D34*$B37*(1+'Допущения'!$B$13)^2</x:f>
        <x:v>314820.2768644068</x:v>
      </x:c>
      <x:c r="G37" s="9" t="n">
        <x:f>'Допущения'!C35*'Допущения'!$B$8*'Допущения'!D35*$B37*(1+'Допущения'!$B$13)^2</x:f>
        <x:v>524700.4614406779</x:v>
      </x:c>
      <x:c r="H37" s="9" t="n">
        <x:f>'Допущения'!C36*'Допущения'!$B$8*'Допущения'!D36*$B37*(1+'Допущения'!$B$13)^2</x:f>
        <x:v>52470.0461440678</x:v>
      </x:c>
      <x:c r="I37" s="9" t="n">
        <x:f>'Допущения'!C37*'Допущения'!$B$8*'Допущения'!D37*$B37*(1+'Допущения'!$B$13)^2</x:f>
        <x:v>0</x:v>
      </x:c>
      <x:c r="J37" s="7" t="n">
        <x:f>SUM(C37:I37)</x:f>
        <x:v>2582692.2713135593</x:v>
      </x:c>
      <x:c r="K37" s="9" t="n">
        <x:f>J37/(1+'Допущения'!$B$9)</x:f>
        <x:v>2459706.9250605325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325036.66680145275</x:v>
      </x:c>
      <x:c r="M37" s="9" t="n">
        <x:f>J37*'Допущения'!$B$11</x:f>
        <x:v>51653.84542627119</x:v>
      </x:c>
      <x:c r="N37" s="9" t="n">
        <x:f>'Инвестиции'!$C$35*(1+'Допущения'!$B$14)^2</x:f>
        <x:v>1212746.5161</x:v>
      </x:c>
      <x:c r="O37" s="9" t="n">
        <x:f>K37*'Допущения'!$B$10</x:f>
        <x:v>147582.41550363196</x:v>
      </x:c>
      <x:c r="P37" s="9" t="n">
        <x:f>K37*'Допущения'!$B$12</x:f>
        <x:v>49194.138501210655</x:v>
      </x:c>
      <x:c r="Q37" s="7" t="n">
        <x:f>K37-L37-M37-N37</x:f>
        <x:v>870269.8967328088</x:v>
      </x:c>
      <x:c r="R37" s="7" t="n">
        <x:f>Q37-O37-P37</x:f>
        <x:v>673493.3427279663</x:v>
      </x:c>
      <x:c r="S37" s="7" t="n">
        <x:f>S36+R37</x:f>
        <x:v>18216810.31735983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14.98728813559322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1567105.3781694914</x:v>
      </x:c>
      <x:c r="D38" s="9" t="n">
        <x:f>'Допущения'!C32*'Допущения'!$B$8*'Допущения'!D32*$B38*(1+'Допущения'!$B$13)^2</x:f>
        <x:v>74624.06562711863</x:v>
      </x:c>
      <x:c r="E38" s="9" t="n">
        <x:f>'Допущения'!C33*'Допущения'!$B$8*'Допущения'!D33*$B38*(1+'Допущения'!$B$13)^2</x:f>
        <x:v>161685.4755254237</x:v>
      </x:c>
      <x:c r="F38" s="9" t="n">
        <x:f>'Допущения'!C34*'Допущения'!$B$8*'Допущения'!D34*$B38*(1+'Допущения'!$B$13)^2</x:f>
        <x:v>335808.2953220339</x:v>
      </x:c>
      <x:c r="G38" s="9" t="n">
        <x:f>'Допущения'!C35*'Допущения'!$B$8*'Допущения'!D35*$B38*(1+'Допущения'!$B$13)^2</x:f>
        <x:v>559680.4922033898</x:v>
      </x:c>
      <x:c r="H38" s="9" t="n">
        <x:f>'Допущения'!C36*'Допущения'!$B$8*'Допущения'!D36*$B38*(1+'Допущения'!$B$13)^2</x:f>
        <x:v>55968.04922033897</x:v>
      </x:c>
      <x:c r="I38" s="9" t="n">
        <x:f>'Допущения'!C37*'Допущения'!$B$8*'Допущения'!D37*$B38*(1+'Допущения'!$B$13)^2</x:f>
        <x:v>0</x:v>
      </x:c>
      <x:c r="J38" s="7" t="n">
        <x:f>SUM(C38:I38)</x:f>
        <x:v>2754871.756067796</x:v>
      </x:c>
      <x:c r="K38" s="9" t="n">
        <x:f>J38/(1+'Допущения'!$B$9)</x:f>
        <x:v>2623687.3867312344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346705.7779215496</x:v>
      </x:c>
      <x:c r="M38" s="9" t="n">
        <x:f>J38*'Допущения'!$B$11</x:f>
        <x:v>55097.43512135593</x:v>
      </x:c>
      <x:c r="N38" s="9" t="n">
        <x:f>'Инвестиции'!$C$35*(1+'Допущения'!$B$14)^2</x:f>
        <x:v>1212746.5161</x:v>
      </x:c>
      <x:c r="O38" s="9" t="n">
        <x:f>K38*'Допущения'!$B$10</x:f>
        <x:v>157421.24320387407</x:v>
      </x:c>
      <x:c r="P38" s="9" t="n">
        <x:f>K38*'Допущения'!$B$12</x:f>
        <x:v>52473.74773462469</x:v>
      </x:c>
      <x:c r="Q38" s="7" t="n">
        <x:f>K38-L38-M38-N38</x:f>
        <x:v>1009137.6575883289</x:v>
      </x:c>
      <x:c r="R38" s="7" t="n">
        <x:f>Q38-O38-P38</x:f>
        <x:v>799242.6666498302</x:v>
      </x:c>
      <x:c r="S38" s="7" t="n">
        <x:f>S37+R38</x:f>
        <x:v>19016052.98400966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15.986440677966101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2056825.8088474579</x:v>
      </x:c>
      <x:c r="D39" s="9" t="n">
        <x:f>'Допущения'!C32*'Допущения'!$B$8*'Допущения'!D32*$B39*(1+'Допущения'!$B$13)^2</x:f>
        <x:v>97944.08613559321</x:v>
      </x:c>
      <x:c r="E39" s="9" t="n">
        <x:f>'Допущения'!C33*'Допущения'!$B$8*'Допущения'!D33*$B39*(1+'Допущения'!$B$13)^2</x:f>
        <x:v>212212.18662711864</x:v>
      </x:c>
      <x:c r="F39" s="9" t="n">
        <x:f>'Допущения'!C34*'Допущения'!$B$8*'Допущения'!D34*$B39*(1+'Допущения'!$B$13)^2</x:f>
        <x:v>440748.38761016954</x:v>
      </x:c>
      <x:c r="G39" s="9" t="n">
        <x:f>'Допущения'!C35*'Допущения'!$B$8*'Допущения'!D35*$B39*(1+'Допущения'!$B$13)^2</x:f>
        <x:v>734580.6460169492</x:v>
      </x:c>
      <x:c r="H39" s="9" t="n">
        <x:f>'Допущения'!C36*'Допущения'!$B$8*'Допущения'!D36*$B39*(1+'Допущения'!$B$13)^2</x:f>
        <x:v>73458.0646016949</x:v>
      </x:c>
      <x:c r="I39" s="9" t="n">
        <x:f>'Допущения'!C37*'Допущения'!$B$8*'Допущения'!D37*$B39*(1+'Допущения'!$B$13)^2</x:f>
        <x:v>0</x:v>
      </x:c>
      <x:c r="J39" s="7" t="n">
        <x:f>SUM(C39:I39)</x:f>
        <x:v>3615769.1798389833</x:v>
      </x:c>
      <x:c r="K39" s="9" t="n">
        <x:f>J39/(1+'Допущения'!$B$9)</x:f>
        <x:v>3443589.695084746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455051.3335220339</x:v>
      </x:c>
      <x:c r="M39" s="9" t="n">
        <x:f>J39*'Допущения'!$B$11</x:f>
        <x:v>72315.38359677966</x:v>
      </x:c>
      <x:c r="N39" s="9" t="n">
        <x:f>'Инвестиции'!$C$35*(1+'Допущения'!$B$14)^2</x:f>
        <x:v>1212746.5161</x:v>
      </x:c>
      <x:c r="O39" s="9" t="n">
        <x:f>K39*'Допущения'!$B$10</x:f>
        <x:v>206615.38170508476</x:v>
      </x:c>
      <x:c r="P39" s="9" t="n">
        <x:f>K39*'Допущения'!$B$12</x:f>
        <x:v>68871.79390169492</x:v>
      </x:c>
      <x:c r="Q39" s="7" t="n">
        <x:f>K39-L39-M39-N39</x:f>
        <x:v>1703476.4618659324</x:v>
      </x:c>
      <x:c r="R39" s="7" t="n">
        <x:f>Q39-O39-P39</x:f>
        <x:v>1427989.2862591527</x:v>
      </x:c>
      <x:c r="S39" s="7" t="n">
        <x:f>S38+R39</x:f>
        <x:v>20444042.270268813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20.982203389830513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2252713.981118644</x:v>
      </x:c>
      <x:c r="D40" s="9" t="n">
        <x:f>'Допущения'!C32*'Допущения'!$B$8*'Допущения'!D32*$B40*(1+'Допущения'!$B$13)^2</x:f>
        <x:v>107272.09433898302</x:v>
      </x:c>
      <x:c r="E40" s="9" t="n">
        <x:f>'Допущения'!C33*'Допущения'!$B$8*'Допущения'!D33*$B40*(1+'Допущения'!$B$13)^2</x:f>
        <x:v>232422.87106779654</x:v>
      </x:c>
      <x:c r="F40" s="9" t="n">
        <x:f>'Допущения'!C34*'Допущения'!$B$8*'Допущения'!D34*$B40*(1+'Допущения'!$B$13)^2</x:f>
        <x:v>482724.4245254237</x:v>
      </x:c>
      <x:c r="G40" s="9" t="n">
        <x:f>'Допущения'!C35*'Допущения'!$B$8*'Допущения'!D35*$B40*(1+'Допущения'!$B$13)^2</x:f>
        <x:v>804540.7075423726</x:v>
      </x:c>
      <x:c r="H40" s="9" t="n">
        <x:f>'Допущения'!C36*'Допущения'!$B$8*'Допущения'!D36*$B40*(1+'Допущения'!$B$13)^2</x:f>
        <x:v>80454.07075423727</x:v>
      </x:c>
      <x:c r="I40" s="9" t="n">
        <x:f>'Допущения'!C37*'Допущения'!$B$8*'Допущения'!D37*$B40*(1+'Допущения'!$B$13)^2</x:f>
        <x:v>0</x:v>
      </x:c>
      <x:c r="J40" s="7" t="n">
        <x:f>SUM(C40:I40)</x:f>
        <x:v>3960128.149347457</x:v>
      </x:c>
      <x:c r="K40" s="9" t="n">
        <x:f>J40/(1+'Допущения'!$B$9)</x:f>
        <x:v>3771550.6184261492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498389.55576222745</x:v>
      </x:c>
      <x:c r="M40" s="9" t="n">
        <x:f>J40*'Допущения'!$B$11</x:f>
        <x:v>79202.56298694914</x:v>
      </x:c>
      <x:c r="N40" s="9" t="n">
        <x:f>'Инвестиции'!$C$35*(1+'Допущения'!$B$14)^2</x:f>
        <x:v>1212746.5161</x:v>
      </x:c>
      <x:c r="O40" s="9" t="n">
        <x:f>K40*'Допущения'!$B$10</x:f>
        <x:v>226293.03710556895</x:v>
      </x:c>
      <x:c r="P40" s="9" t="n">
        <x:f>K40*'Допущения'!$B$12</x:f>
        <x:v>75431.01236852299</x:v>
      </x:c>
      <x:c r="Q40" s="7" t="n">
        <x:f>K40-L40-M40-N40</x:f>
        <x:v>1981211.9835769727</x:v>
      </x:c>
      <x:c r="R40" s="7" t="n">
        <x:f>Q40-O40-P40</x:f>
        <x:v>1679487.9341028808</x:v>
      </x:c>
      <x:c r="S40" s="7" t="n">
        <x:f>S39+R40</x:f>
        <x:v>22123530.204371694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22.98050847457627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2350658.067254237</x:v>
      </x:c>
      <x:c r="D41" s="9" t="n">
        <x:f>'Допущения'!C32*'Допущения'!$B$8*'Допущения'!D32*$B41*(1+'Допущения'!$B$13)^2</x:f>
        <x:v>111936.09844067795</x:v>
      </x:c>
      <x:c r="E41" s="9" t="n">
        <x:f>'Допущения'!C33*'Допущения'!$B$8*'Допущения'!D33*$B41*(1+'Допущения'!$B$13)^2</x:f>
        <x:v>242528.21328813556</x:v>
      </x:c>
      <x:c r="F41" s="9" t="n">
        <x:f>'Допущения'!C34*'Допущения'!$B$8*'Допущения'!D34*$B41*(1+'Допущения'!$B$13)^2</x:f>
        <x:v>503712.44298305083</x:v>
      </x:c>
      <x:c r="G41" s="9" t="n">
        <x:f>'Допущения'!C35*'Допущения'!$B$8*'Допущения'!D35*$B41*(1+'Допущения'!$B$13)^2</x:f>
        <x:v>839520.7383050846</x:v>
      </x:c>
      <x:c r="H41" s="9" t="n">
        <x:f>'Допущения'!C36*'Допущения'!$B$8*'Допущения'!D36*$B41*(1+'Допущения'!$B$13)^2</x:f>
        <x:v>83952.07383050847</x:v>
      </x:c>
      <x:c r="I41" s="9" t="n">
        <x:f>'Допущения'!C37*'Допущения'!$B$8*'Допущения'!D37*$B41*(1+'Допущения'!$B$13)^2</x:f>
        <x:v>0</x:v>
      </x:c>
      <x:c r="J41" s="7" t="n">
        <x:f>SUM(C41:I41)</x:f>
        <x:v>4132307.6341016944</x:v>
      </x:c>
      <x:c r="K41" s="9" t="n">
        <x:f>J41/(1+'Допущения'!$B$9)</x:f>
        <x:v>3935531.0800968516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520058.6668823243</x:v>
      </x:c>
      <x:c r="M41" s="9" t="n">
        <x:f>J41*'Допущения'!$B$11</x:f>
        <x:v>82646.15268203389</x:v>
      </x:c>
      <x:c r="N41" s="9" t="n">
        <x:f>'Инвестиции'!$C$35*(1+'Допущения'!$B$14)^2</x:f>
        <x:v>1212746.5161</x:v>
      </x:c>
      <x:c r="O41" s="9" t="n">
        <x:f>K41*'Допущения'!$B$10</x:f>
        <x:v>236131.86480581108</x:v>
      </x:c>
      <x:c r="P41" s="9" t="n">
        <x:f>K41*'Допущения'!$B$12</x:f>
        <x:v>78710.62160193703</x:v>
      </x:c>
      <x:c r="Q41" s="7" t="n">
        <x:f>K41-L41-M41-N41</x:f>
        <x:v>2120079.744432493</x:v>
      </x:c>
      <x:c r="R41" s="7" t="n">
        <x:f>Q41-O41-P41</x:f>
        <x:v>1805237.258024745</x:v>
      </x:c>
      <x:c r="S41" s="7" t="n">
        <x:f>S40+R41</x:f>
        <x:v>23928767.46239644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23.97966101694915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2448602.1533898306</x:v>
      </x:c>
      <x:c r="D42" s="9" t="n">
        <x:f>'Допущения'!C32*'Допущения'!$B$8*'Допущения'!D32*$B42*(1+'Допущения'!$B$13)^2</x:f>
        <x:v>116600.10254237287</x:v>
      </x:c>
      <x:c r="E42" s="9" t="n">
        <x:f>'Допущения'!C33*'Допущения'!$B$8*'Допущения'!D33*$B42*(1+'Допущения'!$B$13)^2</x:f>
        <x:v>252633.55550847456</x:v>
      </x:c>
      <x:c r="F42" s="9" t="n">
        <x:f>'Допущения'!C34*'Допущения'!$B$8*'Допущения'!D34*$B42*(1+'Допущения'!$B$13)^2</x:f>
        <x:v>524700.461440678</x:v>
      </x:c>
      <x:c r="G42" s="9" t="n">
        <x:f>'Допущения'!C35*'Допущения'!$B$8*'Допущения'!D35*$B42*(1+'Допущения'!$B$13)^2</x:f>
        <x:v>874500.7690677965</x:v>
      </x:c>
      <x:c r="H42" s="9" t="n">
        <x:f>'Допущения'!C36*'Допущения'!$B$8*'Допущения'!D36*$B42*(1+'Допущения'!$B$13)^2</x:f>
        <x:v>87450.07690677965</x:v>
      </x:c>
      <x:c r="I42" s="9" t="n">
        <x:f>'Допущения'!C37*'Допущения'!$B$8*'Допущения'!D37*$B42*(1+'Допущения'!$B$13)^2</x:f>
        <x:v>0</x:v>
      </x:c>
      <x:c r="J42" s="7" t="n">
        <x:f>SUM(C42:I42)</x:f>
        <x:v>4304487.118855933</x:v>
      </x:c>
      <x:c r="K42" s="9" t="n">
        <x:f>J42/(1+'Допущения'!$B$9)</x:f>
        <x:v>4099511.541767555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541727.7780024213</x:v>
      </x:c>
      <x:c r="M42" s="9" t="n">
        <x:f>J42*'Допущения'!$B$11</x:f>
        <x:v>86089.74237711866</x:v>
      </x:c>
      <x:c r="N42" s="9" t="n">
        <x:f>'Инвестиции'!$C$35*(1+'Допущения'!$B$14)^2</x:f>
        <x:v>1212746.5161</x:v>
      </x:c>
      <x:c r="O42" s="9" t="n">
        <x:f>K42*'Допущения'!$B$10</x:f>
        <x:v>245970.69250605328</x:v>
      </x:c>
      <x:c r="P42" s="9" t="n">
        <x:f>K42*'Допущения'!$B$12</x:f>
        <x:v>81990.2308353511</x:v>
      </x:c>
      <x:c r="Q42" s="7" t="n">
        <x:f>K42-L42-M42-N42</x:f>
        <x:v>2258947.505288015</x:v>
      </x:c>
      <x:c r="R42" s="7" t="n">
        <x:f>Q42-O42-P42</x:f>
        <x:v>1930986.5819466107</x:v>
      </x:c>
      <x:c r="S42" s="7" t="n">
        <x:f>S41+R42</x:f>
        <x:v>25859754.04434305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24.97881355932203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2219412.991832543</x:v>
      </x:c>
      <x:c r="D43" s="9" t="n">
        <x:f>'Допущения'!C32*'Допущения'!$B$8*'Допущения'!D32*$B43*(1+'Допущения'!$B$13)^3</x:f>
        <x:v>105686.3329444068</x:v>
      </x:c>
      <x:c r="E43" s="9" t="n">
        <x:f>'Допущения'!C33*'Допущения'!$B$8*'Допущения'!D33*$B43*(1+'Допущения'!$B$13)^3</x:f>
        <x:v>228987.0547128814</x:v>
      </x:c>
      <x:c r="F43" s="9" t="n">
        <x:f>'Допущения'!C34*'Допущения'!$B$8*'Допущения'!D34*$B43*(1+'Допущения'!$B$13)^3</x:f>
        <x:v>475588.4982498306</x:v>
      </x:c>
      <x:c r="G43" s="9" t="n">
        <x:f>'Допущения'!C35*'Допущения'!$B$8*'Допущения'!D35*$B43*(1+'Допущения'!$B$13)^3</x:f>
        <x:v>792647.497083051</x:v>
      </x:c>
      <x:c r="H43" s="9" t="n">
        <x:f>'Допущения'!C36*'Допущения'!$B$8*'Допущения'!D36*$B43*(1+'Допущения'!$B$13)^3</x:f>
        <x:v>79264.7497083051</x:v>
      </x:c>
      <x:c r="I43" s="9" t="n">
        <x:f>'Допущения'!C37*'Допущения'!$B$8*'Допущения'!D37*$B43*(1+'Допущения'!$B$13)^3</x:f>
        <x:v>0</x:v>
      </x:c>
      <x:c r="J43" s="7" t="n">
        <x:f>SUM(C43:I43)</x:f>
        <x:v>3901587.124531018</x:v>
      </x:c>
      <x:c r="K43" s="9" t="n">
        <x:f>J43/(1+'Допущения'!$B$9)</x:f>
        <x:v>3715797.2614581124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491022.05798139476</x:v>
      </x:c>
      <x:c r="M43" s="9" t="n">
        <x:f>J43*'Допущения'!$B$11</x:f>
        <x:v>78031.74249062037</x:v>
      </x:c>
      <x:c r="N43" s="9" t="n">
        <x:f>'Инвестиции'!$C$35*(1+'Допущения'!$B$14)^3</x:f>
        <x:v>1273383.841905</x:v>
      </x:c>
      <x:c r="O43" s="9" t="n">
        <x:f>K43*'Допущения'!$B$10</x:f>
        <x:v>222947.83568748675</x:v>
      </x:c>
      <x:c r="P43" s="9" t="n">
        <x:f>K43*'Допущения'!$B$12</x:f>
        <x:v>74315.94522916224</x:v>
      </x:c>
      <x:c r="Q43" s="7" t="n">
        <x:f>K43-L43-M43-N43</x:f>
        <x:v>1873359.6190810974</x:v>
      </x:c>
      <x:c r="R43" s="7" t="n">
        <x:f>Q43-O43-P43</x:f>
        <x:v>1576095.8381644485</x:v>
      </x:c>
      <x:c r="S43" s="7" t="n">
        <x:f>S42+R43</x:f>
        <x:v>27435849.8825075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21.981355932203396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2118530.583112882</x:v>
      </x:c>
      <x:c r="D44" s="9" t="n">
        <x:f>'Допущения'!C32*'Допущения'!$B$8*'Допущения'!D32*$B44*(1+'Допущения'!$B$13)^3</x:f>
        <x:v>100882.40871966102</x:v>
      </x:c>
      <x:c r="E44" s="9" t="n">
        <x:f>'Допущения'!C33*'Допущения'!$B$8*'Допущения'!D33*$B44*(1+'Допущения'!$B$13)^3</x:f>
        <x:v>218578.55222593222</x:v>
      </x:c>
      <x:c r="F44" s="9" t="n">
        <x:f>'Допущения'!C34*'Допущения'!$B$8*'Допущения'!D34*$B44*(1+'Допущения'!$B$13)^3</x:f>
        <x:v>453970.83923847467</x:v>
      </x:c>
      <x:c r="G44" s="9" t="n">
        <x:f>'Допущения'!C35*'Допущения'!$B$8*'Допущения'!D35*$B44*(1+'Допущения'!$B$13)^3</x:f>
        <x:v>756618.0653974577</x:v>
      </x:c>
      <x:c r="H44" s="9" t="n">
        <x:f>'Допущения'!C36*'Допущения'!$B$8*'Допущения'!D36*$B44*(1+'Допущения'!$B$13)^3</x:f>
        <x:v>75661.80653974575</x:v>
      </x:c>
      <x:c r="I44" s="9" t="n">
        <x:f>'Допущения'!C37*'Допущения'!$B$8*'Допущения'!D37*$B44*(1+'Допущения'!$B$13)^3</x:f>
        <x:v>0</x:v>
      </x:c>
      <x:c r="J44" s="7" t="n">
        <x:f>SUM(C44:I44)</x:f>
        <x:v>3724242.255234153</x:v>
      </x:c>
      <x:c r="K44" s="9" t="n">
        <x:f>J44/(1+'Допущения'!$B$9)</x:f>
        <x:v>3546897.3859372884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468702.87352769496</x:v>
      </x:c>
      <x:c r="M44" s="9" t="n">
        <x:f>J44*'Допущения'!$B$11</x:f>
        <x:v>74484.84510468306</x:v>
      </x:c>
      <x:c r="N44" s="9" t="n">
        <x:f>'Инвестиции'!$C$35*(1+'Допущения'!$B$14)^3</x:f>
        <x:v>1273383.841905</x:v>
      </x:c>
      <x:c r="O44" s="9" t="n">
        <x:f>K44*'Допущения'!$B$10</x:f>
        <x:v>212813.8431562373</x:v>
      </x:c>
      <x:c r="P44" s="9" t="n">
        <x:f>K44*'Допущения'!$B$12</x:f>
        <x:v>70937.94771874577</x:v>
      </x:c>
      <x:c r="Q44" s="7" t="n">
        <x:f>K44-L44-M44-N44</x:f>
        <x:v>1730325.8253999103</x:v>
      </x:c>
      <x:c r="R44" s="7" t="n">
        <x:f>Q44-O44-P44</x:f>
        <x:v>1446574.0345249271</x:v>
      </x:c>
      <x:c r="S44" s="7" t="n">
        <x:f>S43+R44</x:f>
        <x:v>28882423.917032428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20.982203389830513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2017648.1743932203</x:v>
      </x:c>
      <x:c r="D45" s="9" t="n">
        <x:f>'Допущения'!C32*'Допущения'!$B$8*'Допущения'!D32*$B45*(1+'Допущения'!$B$13)^3</x:f>
        <x:v>96078.48449491525</x:v>
      </x:c>
      <x:c r="E45" s="9" t="n">
        <x:f>'Допущения'!C33*'Допущения'!$B$8*'Допущения'!D33*$B45*(1+'Допущения'!$B$13)^3</x:f>
        <x:v>208170.04973898304</x:v>
      </x:c>
      <x:c r="F45" s="9" t="n">
        <x:f>'Допущения'!C34*'Допущения'!$B$8*'Допущения'!D34*$B45*(1+'Допущения'!$B$13)^3</x:f>
        <x:v>432353.1802271187</x:v>
      </x:c>
      <x:c r="G45" s="9" t="n">
        <x:f>'Допущения'!C35*'Допущения'!$B$8*'Допущения'!D35*$B45*(1+'Допущения'!$B$13)^3</x:f>
        <x:v>720588.6337118644</x:v>
      </x:c>
      <x:c r="H45" s="9" t="n">
        <x:f>'Допущения'!C36*'Допущения'!$B$8*'Допущения'!D36*$B45*(1+'Допущения'!$B$13)^3</x:f>
        <x:v>72058.86337118644</x:v>
      </x:c>
      <x:c r="I45" s="9" t="n">
        <x:f>'Допущения'!C37*'Допущения'!$B$8*'Допущения'!D37*$B45*(1+'Допущения'!$B$13)^3</x:f>
        <x:v>0</x:v>
      </x:c>
      <x:c r="J45" s="7" t="n">
        <x:f>SUM(C45:I45)</x:f>
        <x:v>3546897.385937288</x:v>
      </x:c>
      <x:c r="K45" s="9" t="n">
        <x:f>J45/(1+'Допущения'!$B$9)</x:f>
        <x:v>3377997.5104164644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446383.68907399516</x:v>
      </x:c>
      <x:c r="M45" s="9" t="n">
        <x:f>J45*'Допущения'!$B$11</x:f>
        <x:v>70937.94771874577</x:v>
      </x:c>
      <x:c r="N45" s="9" t="n">
        <x:f>'Инвестиции'!$C$35*(1+'Допущения'!$B$14)^3</x:f>
        <x:v>1273383.841905</x:v>
      </x:c>
      <x:c r="O45" s="9" t="n">
        <x:f>K45*'Допущения'!$B$10</x:f>
        <x:v>202679.85062498786</x:v>
      </x:c>
      <x:c r="P45" s="9" t="n">
        <x:f>K45*'Допущения'!$B$12</x:f>
        <x:v>67559.95020832929</x:v>
      </x:c>
      <x:c r="Q45" s="7" t="n">
        <x:f>K45-L45-M45-N45</x:f>
        <x:v>1587292.0317187237</x:v>
      </x:c>
      <x:c r="R45" s="7" t="n">
        <x:f>Q45-O45-P45</x:f>
        <x:v>1317052.2308854065</x:v>
      </x:c>
      <x:c r="S45" s="7" t="n">
        <x:f>S44+R45</x:f>
        <x:v>30199476.147917833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19.98305084745763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1815883.3569538987</x:v>
      </x:c>
      <x:c r="D46" s="9" t="n">
        <x:f>'Допущения'!C32*'Допущения'!$B$8*'Допущения'!D32*$B46*(1+'Допущения'!$B$13)^3</x:f>
        <x:v>86470.63604542373</x:v>
      </x:c>
      <x:c r="E46" s="9" t="n">
        <x:f>'Допущения'!C33*'Допущения'!$B$8*'Допущения'!D33*$B46*(1+'Допущения'!$B$13)^3</x:f>
        <x:v>187353.04476508475</x:v>
      </x:c>
      <x:c r="F46" s="9" t="n">
        <x:f>'Допущения'!C34*'Допущения'!$B$8*'Допущения'!D34*$B46*(1+'Допущения'!$B$13)^3</x:f>
        <x:v>389117.8622044068</x:v>
      </x:c>
      <x:c r="G46" s="9" t="n">
        <x:f>'Допущения'!C35*'Допущения'!$B$8*'Допущения'!D35*$B46*(1+'Допущения'!$B$13)^3</x:f>
        <x:v>648529.7703406779</x:v>
      </x:c>
      <x:c r="H46" s="9" t="n">
        <x:f>'Допущения'!C36*'Допущения'!$B$8*'Допущения'!D36*$B46*(1+'Допущения'!$B$13)^3</x:f>
        <x:v>64852.9770340678</x:v>
      </x:c>
      <x:c r="I46" s="9" t="n">
        <x:f>'Допущения'!C37*'Допущения'!$B$8*'Допущения'!D37*$B46*(1+'Допущения'!$B$13)^3</x:f>
        <x:v>0</x:v>
      </x:c>
      <x:c r="J46" s="7" t="n">
        <x:f>SUM(C46:I46)</x:f>
        <x:v>3192207.6473435597</x:v>
      </x:c>
      <x:c r="K46" s="9" t="n">
        <x:f>J46/(1+'Допущения'!$B$9)</x:f>
        <x:v>3040197.7593748188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401745.32016659563</x:v>
      </x:c>
      <x:c r="M46" s="9" t="n">
        <x:f>J46*'Допущения'!$B$11</x:f>
        <x:v>63844.152946871196</x:v>
      </x:c>
      <x:c r="N46" s="9" t="n">
        <x:f>'Инвестиции'!$C$35*(1+'Допущения'!$B$14)^3</x:f>
        <x:v>1273383.841905</x:v>
      </x:c>
      <x:c r="O46" s="9" t="n">
        <x:f>K46*'Допущения'!$B$10</x:f>
        <x:v>182411.8655624891</x:v>
      </x:c>
      <x:c r="P46" s="9" t="n">
        <x:f>K46*'Допущения'!$B$12</x:f>
        <x:v>60803.95518749638</x:v>
      </x:c>
      <x:c r="Q46" s="7" t="n">
        <x:f>K46-L46-M46-N46</x:f>
        <x:v>1301224.4443563519</x:v>
      </x:c>
      <x:c r="R46" s="7" t="n">
        <x:f>Q46-O46-P46</x:f>
        <x:v>1058008.6236063666</x:v>
      </x:c>
      <x:c r="S46" s="7" t="n">
        <x:f>S45+R46</x:f>
        <x:v>31257484.7715242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17.984745762711867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1715000.9482342375</x:v>
      </x:c>
      <x:c r="D47" s="9" t="n">
        <x:f>'Допущения'!C32*'Допущения'!$B$8*'Допущения'!D32*$B47*(1+'Допущения'!$B$13)^3</x:f>
        <x:v>81666.71182067796</x:v>
      </x:c>
      <x:c r="E47" s="9" t="n">
        <x:f>'Допущения'!C33*'Допущения'!$B$8*'Допущения'!D33*$B47*(1+'Допущения'!$B$13)^3</x:f>
        <x:v>176944.54227813557</x:v>
      </x:c>
      <x:c r="F47" s="9" t="n">
        <x:f>'Допущения'!C34*'Допущения'!$B$8*'Допущения'!D34*$B47*(1+'Допущения'!$B$13)^3</x:f>
        <x:v>367500.20319305087</x:v>
      </x:c>
      <x:c r="G47" s="9" t="n">
        <x:f>'Допущения'!C35*'Допущения'!$B$8*'Допущения'!D35*$B47*(1+'Допущения'!$B$13)^3</x:f>
        <x:v>612500.3386550846</x:v>
      </x:c>
      <x:c r="H47" s="9" t="n">
        <x:f>'Допущения'!C36*'Допущения'!$B$8*'Допущения'!D36*$B47*(1+'Допущения'!$B$13)^3</x:f>
        <x:v>61250.03386550847</x:v>
      </x:c>
      <x:c r="I47" s="9" t="n">
        <x:f>'Допущения'!C37*'Допущения'!$B$8*'Допущения'!D37*$B47*(1+'Допущения'!$B$13)^3</x:f>
        <x:v>0</x:v>
      </x:c>
      <x:c r="J47" s="7" t="n">
        <x:f>SUM(C47:I47)</x:f>
        <x:v>3014862.7780466955</x:v>
      </x:c>
      <x:c r="K47" s="9" t="n">
        <x:f>J47/(1+'Допущения'!$B$9)</x:f>
        <x:v>2871297.8838539957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379426.1357128958</x:v>
      </x:c>
      <x:c r="M47" s="9" t="n">
        <x:f>J47*'Допущения'!$B$11</x:f>
        <x:v>60297.25556093391</x:v>
      </x:c>
      <x:c r="N47" s="9" t="n">
        <x:f>'Инвестиции'!$C$35*(1+'Допущения'!$B$14)^3</x:f>
        <x:v>1273383.841905</x:v>
      </x:c>
      <x:c r="O47" s="9" t="n">
        <x:f>K47*'Допущения'!$B$10</x:f>
        <x:v>172277.87303123972</x:v>
      </x:c>
      <x:c r="P47" s="9" t="n">
        <x:f>K47*'Допущения'!$B$12</x:f>
        <x:v>57425.95767707992</x:v>
      </x:c>
      <x:c r="Q47" s="7" t="n">
        <x:f>K47-L47-M47-N47</x:f>
        <x:v>1158190.6506751657</x:v>
      </x:c>
      <x:c r="R47" s="7" t="n">
        <x:f>Q47-O47-P47</x:f>
        <x:v>928486.819966846</x:v>
      </x:c>
      <x:c r="S47" s="7" t="n">
        <x:f>S46+R47</x:f>
        <x:v>32185971.591491044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16.985593220338984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1412353.7220752542</x:v>
      </x:c>
      <x:c r="D48" s="9" t="n">
        <x:f>'Допущения'!C32*'Допущения'!$B$8*'Допущения'!D32*$B48*(1+'Допущения'!$B$13)^3</x:f>
        <x:v>67254.93914644067</x:v>
      </x:c>
      <x:c r="E48" s="9" t="n">
        <x:f>'Допущения'!C33*'Допущения'!$B$8*'Допущения'!D33*$B48*(1+'Допущения'!$B$13)^3</x:f>
        <x:v>145719.0348172881</x:v>
      </x:c>
      <x:c r="F48" s="9" t="n">
        <x:f>'Допущения'!C34*'Допущения'!$B$8*'Допущения'!D34*$B48*(1+'Допущения'!$B$13)^3</x:f>
        <x:v>302647.226158983</x:v>
      </x:c>
      <x:c r="G48" s="9" t="n">
        <x:f>'Допущения'!C35*'Допущения'!$B$8*'Допущения'!D35*$B48*(1+'Допущения'!$B$13)^3</x:f>
        <x:v>504412.04359830497</x:v>
      </x:c>
      <x:c r="H48" s="9" t="n">
        <x:f>'Допущения'!C36*'Допущения'!$B$8*'Допущения'!D36*$B48*(1+'Допущения'!$B$13)^3</x:f>
        <x:v>50441.2043598305</x:v>
      </x:c>
      <x:c r="I48" s="9" t="n">
        <x:f>'Допущения'!C37*'Допущения'!$B$8*'Допущения'!D37*$B48*(1+'Допущения'!$B$13)^3</x:f>
        <x:v>0</x:v>
      </x:c>
      <x:c r="J48" s="7" t="n">
        <x:f>SUM(C48:I48)</x:f>
        <x:v>2482828.1701561017</x:v>
      </x:c>
      <x:c r="K48" s="9" t="n">
        <x:f>J48/(1+'Допущения'!$B$9)</x:f>
        <x:v>2364598.257291525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312468.5823517965</x:v>
      </x:c>
      <x:c r="M48" s="9" t="n">
        <x:f>J48*'Допущения'!$B$11</x:f>
        <x:v>49656.56340312203</x:v>
      </x:c>
      <x:c r="N48" s="9" t="n">
        <x:f>'Инвестиции'!$C$35*(1+'Допущения'!$B$14)^3</x:f>
        <x:v>1273383.841905</x:v>
      </x:c>
      <x:c r="O48" s="9" t="n">
        <x:f>K48*'Допущения'!$B$10</x:f>
        <x:v>141875.8954374915</x:v>
      </x:c>
      <x:c r="P48" s="9" t="n">
        <x:f>K48*'Допущения'!$B$12</x:f>
        <x:v>47291.9651458305</x:v>
      </x:c>
      <x:c r="Q48" s="7" t="n">
        <x:f>K48-L48-M48-N48</x:f>
        <x:v>729089.2696316065</x:v>
      </x:c>
      <x:c r="R48" s="7" t="n">
        <x:f>Q48-O48-P48</x:f>
        <x:v>539921.4090482845</x:v>
      </x:c>
      <x:c r="S48" s="7" t="n">
        <x:f>S47+R48</x:f>
        <x:v>32725893.00053933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13.988135593220337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1513236.1307949154</x:v>
      </x:c>
      <x:c r="D49" s="9" t="n">
        <x:f>'Допущения'!C32*'Допущения'!$B$8*'Допущения'!D32*$B49*(1+'Допущения'!$B$13)^3</x:f>
        <x:v>72058.86337118644</x:v>
      </x:c>
      <x:c r="E49" s="9" t="n">
        <x:f>'Допущения'!C33*'Допущения'!$B$8*'Допущения'!D33*$B49*(1+'Допущения'!$B$13)^3</x:f>
        <x:v>156127.53730423728</x:v>
      </x:c>
      <x:c r="F49" s="9" t="n">
        <x:f>'Допущения'!C34*'Допущения'!$B$8*'Допущения'!D34*$B49*(1+'Допущения'!$B$13)^3</x:f>
        <x:v>324264.885170339</x:v>
      </x:c>
      <x:c r="G49" s="9" t="n">
        <x:f>'Допущения'!C35*'Допущения'!$B$8*'Допущения'!D35*$B49*(1+'Допущения'!$B$13)^3</x:f>
        <x:v>540441.4752838983</x:v>
      </x:c>
      <x:c r="H49" s="9" t="n">
        <x:f>'Допущения'!C36*'Допущения'!$B$8*'Допущения'!D36*$B49*(1+'Допущения'!$B$13)^3</x:f>
        <x:v>54044.14752838983</x:v>
      </x:c>
      <x:c r="I49" s="9" t="n">
        <x:f>'Допущения'!C37*'Допущения'!$B$8*'Допущения'!D37*$B49*(1+'Допущения'!$B$13)^3</x:f>
        <x:v>0</x:v>
      </x:c>
      <x:c r="J49" s="7" t="n">
        <x:f>SUM(C49:I49)</x:f>
        <x:v>2660173.0394529663</x:v>
      </x:c>
      <x:c r="K49" s="9" t="n">
        <x:f>J49/(1+'Допущения'!$B$9)</x:f>
        <x:v>2533498.1328123487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334787.76680549636</x:v>
      </x:c>
      <x:c r="M49" s="9" t="n">
        <x:f>J49*'Допущения'!$B$11</x:f>
        <x:v>53203.460789059325</x:v>
      </x:c>
      <x:c r="N49" s="9" t="n">
        <x:f>'Инвестиции'!$C$35*(1+'Допущения'!$B$14)^3</x:f>
        <x:v>1273383.841905</x:v>
      </x:c>
      <x:c r="O49" s="9" t="n">
        <x:f>K49*'Допущения'!$B$10</x:f>
        <x:v>152009.88796874092</x:v>
      </x:c>
      <x:c r="P49" s="9" t="n">
        <x:f>K49*'Допущения'!$B$12</x:f>
        <x:v>50669.96265624697</x:v>
      </x:c>
      <x:c r="Q49" s="7" t="n">
        <x:f>K49-L49-M49-N49</x:f>
        <x:v>872123.0633127929</x:v>
      </x:c>
      <x:c r="R49" s="7" t="n">
        <x:f>Q49-O49-P49</x:f>
        <x:v>669443.2126878051</x:v>
      </x:c>
      <x:c r="S49" s="7" t="n">
        <x:f>S48+R49</x:f>
        <x:v>33395336.213227134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14.98728813559322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1614118.5395145763</x:v>
      </x:c>
      <x:c r="D50" s="9" t="n">
        <x:f>'Допущения'!C32*'Допущения'!$B$8*'Допущения'!D32*$B50*(1+'Допущения'!$B$13)^3</x:f>
        <x:v>76862.7875959322</x:v>
      </x:c>
      <x:c r="E50" s="9" t="n">
        <x:f>'Допущения'!C33*'Допущения'!$B$8*'Допущения'!D33*$B50*(1+'Допущения'!$B$13)^3</x:f>
        <x:v>166536.03979118643</x:v>
      </x:c>
      <x:c r="F50" s="9" t="n">
        <x:f>'Допущения'!C34*'Допущения'!$B$8*'Допущения'!D34*$B50*(1+'Допущения'!$B$13)^3</x:f>
        <x:v>345882.544181695</x:v>
      </x:c>
      <x:c r="G50" s="9" t="n">
        <x:f>'Допущения'!C35*'Допущения'!$B$8*'Допущения'!D35*$B50*(1+'Допущения'!$B$13)^3</x:f>
        <x:v>576470.9069694915</x:v>
      </x:c>
      <x:c r="H50" s="9" t="n">
        <x:f>'Допущения'!C36*'Допущения'!$B$8*'Допущения'!D36*$B50*(1+'Допущения'!$B$13)^3</x:f>
        <x:v>57647.09069694915</x:v>
      </x:c>
      <x:c r="I50" s="9" t="n">
        <x:f>'Допущения'!C37*'Допущения'!$B$8*'Допущения'!D37*$B50*(1+'Допущения'!$B$13)^3</x:f>
        <x:v>0</x:v>
      </x:c>
      <x:c r="J50" s="7" t="n">
        <x:f>SUM(C50:I50)</x:f>
        <x:v>2837517.9087498304</x:v>
      </x:c>
      <x:c r="K50" s="9" t="n">
        <x:f>J50/(1+'Допущения'!$B$9)</x:f>
        <x:v>2702398.0083331717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357106.95125919604</x:v>
      </x:c>
      <x:c r="M50" s="9" t="n">
        <x:f>J50*'Допущения'!$B$11</x:f>
        <x:v>56750.35817499661</x:v>
      </x:c>
      <x:c r="N50" s="9" t="n">
        <x:f>'Инвестиции'!$C$35*(1+'Допущения'!$B$14)^3</x:f>
        <x:v>1273383.841905</x:v>
      </x:c>
      <x:c r="O50" s="9" t="n">
        <x:f>K50*'Допущения'!$B$10</x:f>
        <x:v>162143.8804999903</x:v>
      </x:c>
      <x:c r="P50" s="9" t="n">
        <x:f>K50*'Допущения'!$B$12</x:f>
        <x:v>54047.96016666343</x:v>
      </x:c>
      <x:c r="Q50" s="7" t="n">
        <x:f>K50-L50-M50-N50</x:f>
        <x:v>1015156.8569939795</x:v>
      </x:c>
      <x:c r="R50" s="7" t="n">
        <x:f>Q50-O50-P50</x:f>
        <x:v>798965.0163273258</x:v>
      </x:c>
      <x:c r="S50" s="7" t="n">
        <x:f>S49+R50</x:f>
        <x:v>34194301.22955446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15.986440677966101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2118530.583112882</x:v>
      </x:c>
      <x:c r="D51" s="9" t="n">
        <x:f>'Допущения'!C32*'Допущения'!$B$8*'Допущения'!D32*$B51*(1+'Допущения'!$B$13)^3</x:f>
        <x:v>100882.40871966102</x:v>
      </x:c>
      <x:c r="E51" s="9" t="n">
        <x:f>'Допущения'!C33*'Допущения'!$B$8*'Допущения'!D33*$B51*(1+'Допущения'!$B$13)^3</x:f>
        <x:v>218578.55222593222</x:v>
      </x:c>
      <x:c r="F51" s="9" t="n">
        <x:f>'Допущения'!C34*'Допущения'!$B$8*'Допущения'!D34*$B51*(1+'Допущения'!$B$13)^3</x:f>
        <x:v>453970.83923847467</x:v>
      </x:c>
      <x:c r="G51" s="9" t="n">
        <x:f>'Допущения'!C35*'Допущения'!$B$8*'Допущения'!D35*$B51*(1+'Допущения'!$B$13)^3</x:f>
        <x:v>756618.0653974577</x:v>
      </x:c>
      <x:c r="H51" s="9" t="n">
        <x:f>'Допущения'!C36*'Допущения'!$B$8*'Допущения'!D36*$B51*(1+'Допущения'!$B$13)^3</x:f>
        <x:v>75661.80653974575</x:v>
      </x:c>
      <x:c r="I51" s="9" t="n">
        <x:f>'Допущения'!C37*'Допущения'!$B$8*'Допущения'!D37*$B51*(1+'Допущения'!$B$13)^3</x:f>
        <x:v>0</x:v>
      </x:c>
      <x:c r="J51" s="7" t="n">
        <x:f>SUM(C51:I51)</x:f>
        <x:v>3724242.255234153</x:v>
      </x:c>
      <x:c r="K51" s="9" t="n">
        <x:f>J51/(1+'Допущения'!$B$9)</x:f>
        <x:v>3546897.3859372884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468702.87352769496</x:v>
      </x:c>
      <x:c r="M51" s="9" t="n">
        <x:f>J51*'Допущения'!$B$11</x:f>
        <x:v>74484.84510468306</x:v>
      </x:c>
      <x:c r="N51" s="9" t="n">
        <x:f>'Инвестиции'!$C$35*(1+'Допущения'!$B$14)^3</x:f>
        <x:v>1273383.841905</x:v>
      </x:c>
      <x:c r="O51" s="9" t="n">
        <x:f>K51*'Допущения'!$B$10</x:f>
        <x:v>212813.8431562373</x:v>
      </x:c>
      <x:c r="P51" s="9" t="n">
        <x:f>K51*'Допущения'!$B$12</x:f>
        <x:v>70937.94771874577</x:v>
      </x:c>
      <x:c r="Q51" s="7" t="n">
        <x:f>K51-L51-M51-N51</x:f>
        <x:v>1730325.8253999103</x:v>
      </x:c>
      <x:c r="R51" s="7" t="n">
        <x:f>Q51-O51-P51</x:f>
        <x:v>1446574.0345249271</x:v>
      </x:c>
      <x:c r="S51" s="7" t="n">
        <x:f>S50+R51</x:f>
        <x:v>35640875.264079385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20.982203389830513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2320295.4005522034</x:v>
      </x:c>
      <x:c r="D52" s="9" t="n">
        <x:f>'Допущения'!C32*'Допущения'!$B$8*'Допущения'!D32*$B52*(1+'Допущения'!$B$13)^3</x:f>
        <x:v>110490.25716915252</x:v>
      </x:c>
      <x:c r="E52" s="9" t="n">
        <x:f>'Допущения'!C33*'Допущения'!$B$8*'Допущения'!D33*$B52*(1+'Допущения'!$B$13)^3</x:f>
        <x:v>239395.55719983045</x:v>
      </x:c>
      <x:c r="F52" s="9" t="n">
        <x:f>'Допущения'!C34*'Допущения'!$B$8*'Допущения'!D34*$B52*(1+'Допущения'!$B$13)^3</x:f>
        <x:v>497206.1572611864</x:v>
      </x:c>
      <x:c r="G52" s="9" t="n">
        <x:f>'Допущения'!C35*'Допущения'!$B$8*'Допущения'!D35*$B52*(1+'Допущения'!$B$13)^3</x:f>
        <x:v>828676.9287686439</x:v>
      </x:c>
      <x:c r="H52" s="9" t="n">
        <x:f>'Допущения'!C36*'Допущения'!$B$8*'Допущения'!D36*$B52*(1+'Допущения'!$B$13)^3</x:f>
        <x:v>82867.69287686438</x:v>
      </x:c>
      <x:c r="I52" s="9" t="n">
        <x:f>'Допущения'!C37*'Допущения'!$B$8*'Допущения'!D37*$B52*(1+'Допущения'!$B$13)^3</x:f>
        <x:v>0</x:v>
      </x:c>
      <x:c r="J52" s="7" t="n">
        <x:f>SUM(C52:I52)</x:f>
        <x:v>4078931.9938278813</x:v>
      </x:c>
      <x:c r="K52" s="9" t="n">
        <x:f>J52/(1+'Допущения'!$B$9)</x:f>
        <x:v>3884697.1369789345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513341.2424350943</x:v>
      </x:c>
      <x:c r="M52" s="9" t="n">
        <x:f>J52*'Допущения'!$B$11</x:f>
        <x:v>81578.63987655763</x:v>
      </x:c>
      <x:c r="N52" s="9" t="n">
        <x:f>'Инвестиции'!$C$35*(1+'Допущения'!$B$14)^3</x:f>
        <x:v>1273383.841905</x:v>
      </x:c>
      <x:c r="O52" s="9" t="n">
        <x:f>K52*'Допущения'!$B$10</x:f>
        <x:v>233081.82821873607</x:v>
      </x:c>
      <x:c r="P52" s="9" t="n">
        <x:f>K52*'Допущения'!$B$12</x:f>
        <x:v>77693.94273957869</x:v>
      </x:c>
      <x:c r="Q52" s="7" t="n">
        <x:f>K52-L52-M52-N52</x:f>
        <x:v>2016393.4127622826</x:v>
      </x:c>
      <x:c r="R52" s="7" t="n">
        <x:f>Q52-O52-P52</x:f>
        <x:v>1705617.641803968</x:v>
      </x:c>
      <x:c r="S52" s="7" t="n">
        <x:f>S51+R52</x:f>
        <x:v>37346492.90588335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22.98050847457627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2421177.809271864</x:v>
      </x:c>
      <x:c r="D53" s="9" t="n">
        <x:f>'Допущения'!C32*'Допущения'!$B$8*'Допущения'!D32*$B53*(1+'Допущения'!$B$13)^3</x:f>
        <x:v>115294.1813938983</x:v>
      </x:c>
      <x:c r="E53" s="9" t="n">
        <x:f>'Допущения'!C33*'Допущения'!$B$8*'Допущения'!D33*$B53*(1+'Допущения'!$B$13)^3</x:f>
        <x:v>249804.05968677966</x:v>
      </x:c>
      <x:c r="F53" s="9" t="n">
        <x:f>'Допущения'!C34*'Допущения'!$B$8*'Допущения'!D34*$B53*(1+'Допущения'!$B$13)^3</x:f>
        <x:v>518823.8162725424</x:v>
      </x:c>
      <x:c r="G53" s="9" t="n">
        <x:f>'Допущения'!C35*'Допущения'!$B$8*'Допущения'!D35*$B53*(1+'Допущения'!$B$13)^3</x:f>
        <x:v>864706.3604542372</x:v>
      </x:c>
      <x:c r="H53" s="9" t="n">
        <x:f>'Допущения'!C36*'Допущения'!$B$8*'Допущения'!D36*$B53*(1+'Допущения'!$B$13)^3</x:f>
        <x:v>86470.63604542373</x:v>
      </x:c>
      <x:c r="I53" s="9" t="n">
        <x:f>'Допущения'!C37*'Допущения'!$B$8*'Допущения'!D37*$B53*(1+'Допущения'!$B$13)^3</x:f>
        <x:v>0</x:v>
      </x:c>
      <x:c r="J53" s="7" t="n">
        <x:f>SUM(C53:I53)</x:f>
        <x:v>4256276.863124745</x:v>
      </x:c>
      <x:c r="K53" s="9" t="n">
        <x:f>J53/(1+'Допущения'!$B$9)</x:f>
        <x:v>4053597.012499757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535660.426888794</x:v>
      </x:c>
      <x:c r="M53" s="9" t="n">
        <x:f>J53*'Допущения'!$B$11</x:f>
        <x:v>85125.5372624949</x:v>
      </x:c>
      <x:c r="N53" s="9" t="n">
        <x:f>'Инвестиции'!$C$35*(1+'Допущения'!$B$14)^3</x:f>
        <x:v>1273383.841905</x:v>
      </x:c>
      <x:c r="O53" s="9" t="n">
        <x:f>K53*'Допущения'!$B$10</x:f>
        <x:v>243215.8207499854</x:v>
      </x:c>
      <x:c r="P53" s="9" t="n">
        <x:f>K53*'Допущения'!$B$12</x:f>
        <x:v>81071.94024999514</x:v>
      </x:c>
      <x:c r="Q53" s="7" t="n">
        <x:f>K53-L53-M53-N53</x:f>
        <x:v>2159427.206443468</x:v>
      </x:c>
      <x:c r="R53" s="7" t="n">
        <x:f>Q53-O53-P53</x:f>
        <x:v>1835139.4454434875</x:v>
      </x:c>
      <x:c r="S53" s="7" t="n">
        <x:f>S52+R53</x:f>
        <x:v>39181632.35132684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23.97966101694915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2522060.217991526</x:v>
      </x:c>
      <x:c r="D54" s="9" t="n">
        <x:f>'Допущения'!C32*'Допущения'!$B$8*'Допущения'!D32*$B54*(1+'Допущения'!$B$13)^3</x:f>
        <x:v>120098.10561864407</x:v>
      </x:c>
      <x:c r="E54" s="9" t="n">
        <x:f>'Допущения'!C33*'Допущения'!$B$8*'Допущения'!D33*$B54*(1+'Допущения'!$B$13)^3</x:f>
        <x:v>260212.5621737288</x:v>
      </x:c>
      <x:c r="F54" s="9" t="n">
        <x:f>'Допущения'!C34*'Допущения'!$B$8*'Допущения'!D34*$B54*(1+'Допущения'!$B$13)^3</x:f>
        <x:v>540441.4752838984</x:v>
      </x:c>
      <x:c r="G54" s="9" t="n">
        <x:f>'Допущения'!C35*'Допущения'!$B$8*'Допущения'!D35*$B54*(1+'Допущения'!$B$13)^3</x:f>
        <x:v>900735.7921398304</x:v>
      </x:c>
      <x:c r="H54" s="9" t="n">
        <x:f>'Допущения'!C36*'Допущения'!$B$8*'Допущения'!D36*$B54*(1+'Допущения'!$B$13)^3</x:f>
        <x:v>90073.57921398304</x:v>
      </x:c>
      <x:c r="I54" s="9" t="n">
        <x:f>'Допущения'!C37*'Допущения'!$B$8*'Допущения'!D37*$B54*(1+'Допущения'!$B$13)^3</x:f>
        <x:v>0</x:v>
      </x:c>
      <x:c r="J54" s="7" t="n">
        <x:f>SUM(C54:I54)</x:f>
        <x:v>4433621.7324216105</x:v>
      </x:c>
      <x:c r="K54" s="9" t="n">
        <x:f>J54/(1+'Допущения'!$B$9)</x:f>
        <x:v>4222496.888020582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557979.6113424939</x:v>
      </x:c>
      <x:c r="M54" s="9" t="n">
        <x:f>J54*'Допущения'!$B$11</x:f>
        <x:v>88672.43464843222</x:v>
      </x:c>
      <x:c r="N54" s="9" t="n">
        <x:f>'Инвестиции'!$C$35*(1+'Допущения'!$B$14)^3</x:f>
        <x:v>1273383.841905</x:v>
      </x:c>
      <x:c r="O54" s="9" t="n">
        <x:f>K54*'Допущения'!$B$10</x:f>
        <x:v>253349.81328123488</x:v>
      </x:c>
      <x:c r="P54" s="9" t="n">
        <x:f>K54*'Допущения'!$B$12</x:f>
        <x:v>84449.93776041163</x:v>
      </x:c>
      <x:c r="Q54" s="7" t="n">
        <x:f>K54-L54-M54-N54</x:f>
        <x:v>2302461.0001246557</x:v>
      </x:c>
      <x:c r="R54" s="7" t="n">
        <x:f>Q54-O54-P54</x:f>
        <x:v>1964661.2490830093</x:v>
      </x:c>
      <x:c r="S54" s="7" t="n">
        <x:f>S53+R54</x:f>
        <x:v>41146293.60040985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24.97881355932203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30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2846</x:v>
      </x:c>
      <x:c r="E7" s="28" t="n">
        <x:v>2400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30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1897</x:v>
      </x:c>
      <x:c r="E8" s="28" t="n">
        <x:v>1800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30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3162</x:v>
      </x:c>
      <x:c r="E9" s="28" t="n">
        <x:v>2400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30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4743</x:v>
      </x:c>
      <x:c r="E10" s="28" t="n">
        <x:v>3000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