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981354736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5f19fd33679b49c6"/>
    <x:sheet xmlns:r="http://schemas.openxmlformats.org/officeDocument/2006/relationships" name="Допущения" sheetId="2" r:id="R4343f56b8f9541d2"/>
    <x:sheet xmlns:r="http://schemas.openxmlformats.org/officeDocument/2006/relationships" name="Оборудование" sheetId="3" r:id="R03c1f96e329a4bd9"/>
    <x:sheet xmlns:r="http://schemas.openxmlformats.org/officeDocument/2006/relationships" name="Персонал" sheetId="4" r:id="Rbbfe5b2cd9c44294"/>
    <x:sheet xmlns:r="http://schemas.openxmlformats.org/officeDocument/2006/relationships" name="Электрика" sheetId="5" r:id="R88f390809151427e"/>
    <x:sheet xmlns:r="http://schemas.openxmlformats.org/officeDocument/2006/relationships" name="Инвестиции" sheetId="6" r:id="Rb38c38ad70454379"/>
    <x:sheet xmlns:r="http://schemas.openxmlformats.org/officeDocument/2006/relationships" name="Зоны" sheetId="7" r:id="R29a474dc153f4353"/>
    <x:sheet xmlns:r="http://schemas.openxmlformats.org/officeDocument/2006/relationships" name="Поток 48 мес" sheetId="8" r:id="Ra2409595cc384608"/>
    <x:sheet xmlns:r="http://schemas.openxmlformats.org/officeDocument/2006/relationships" name="События" sheetId="9" r:id="Rd69de3b6780a45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&quot;—&quot;"/>
    <x:numFmt numFmtId="201" formatCode="0.0%"/>
    <x:numFmt numFmtId="202" formatCode="0.00"/>
    <x:numFmt numFmtId="203" formatCode="0.000"/>
    <x:numFmt numFmtId="204" formatCode="0.0"/>
    <x:numFmt numFmtId="205" formatCode="0%"/>
  </x:numFmts>
  <x:fonts count="7">
    <x:font>
      <x:sz val="11"/>
      <x:name val="Carlito"/>
    </x:font>
    <x:font>
      <x:sz val="11"/>
      <x:color rgb="FF172333"/>
      <x:name val="Arial"/>
    </x:font>
    <x:font>
      <x:b/>
      <x:sz val="19"/>
      <x:color rgb="FFFFFFFF"/>
      <x:name val="Arial"/>
    </x:font>
    <x:font>
      <x:sz val="11"/>
      <x:color rgb="FF008052"/>
      <x:name val="Arial"/>
    </x:font>
    <x:font>
      <x:b/>
      <x:sz val="11"/>
      <x:color rgb="FF172333"/>
      <x:name val="Arial"/>
    </x:font>
    <x:font>
      <x:sz val="11"/>
      <x:color rgb="FF1F58C7"/>
      <x:name val="Arial"/>
    </x:font>
    <x:font>
      <x:b/>
      <x:sz val="11"/>
      <x:color rgb="FF1F58C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63597"/>
      </x:patternFill>
    </x:fill>
    <x:fill>
      <x:patternFill patternType="solid">
        <x:fgColor rgb="FFE8EE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3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4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d3ca7daf64b00" /><Relationship Type="http://schemas.openxmlformats.org/officeDocument/2006/relationships/theme" Target="/xl/theme/theme1.xml" Id="R30d8a20b8b334d05" /><Relationship Type="http://schemas.openxmlformats.org/officeDocument/2006/relationships/sharedStrings" Target="/xl/sharedStrings.xml" Id="R5b6bcd9cca824024" /><Relationship Type="http://schemas.openxmlformats.org/officeDocument/2006/relationships/worksheet" Target="/xl/worksheets/sheet1.xml" Id="R5f19fd33679b49c6" /><Relationship Type="http://schemas.openxmlformats.org/officeDocument/2006/relationships/worksheet" Target="/xl/worksheets/sheet2.xml" Id="R4343f56b8f9541d2" /><Relationship Type="http://schemas.openxmlformats.org/officeDocument/2006/relationships/worksheet" Target="/xl/worksheets/sheet3.xml" Id="R03c1f96e329a4bd9" /><Relationship Type="http://schemas.openxmlformats.org/officeDocument/2006/relationships/worksheet" Target="/xl/worksheets/sheet4.xml" Id="Rbbfe5b2cd9c44294" /><Relationship Type="http://schemas.openxmlformats.org/officeDocument/2006/relationships/worksheet" Target="/xl/worksheets/sheet5.xml" Id="R88f390809151427e" /><Relationship Type="http://schemas.openxmlformats.org/officeDocument/2006/relationships/worksheet" Target="/xl/worksheets/sheet6.xml" Id="Rb38c38ad70454379" /><Relationship Type="http://schemas.openxmlformats.org/officeDocument/2006/relationships/worksheet" Target="/xl/worksheets/sheet7.xml" Id="R29a474dc153f4353" /><Relationship Type="http://schemas.openxmlformats.org/officeDocument/2006/relationships/worksheet" Target="/xl/worksheets/sheet8.xml" Id="Ra2409595cc384608" /><Relationship Type="http://schemas.openxmlformats.org/officeDocument/2006/relationships/worksheet" Target="/xl/worksheets/sheet9.xml" Id="Rd69de3b6780a45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6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RR-FEC-3000 | Обзор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Площадь, м²</x:v>
      </x:c>
      <x:c r="B6" s="25" t="n">
        <x:v>3000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Концепция</x:v>
      </x:c>
      <x:c r="B7" s="7" t="str">
        <x:v>Галактика</x:v>
      </x:c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Оборудование RR, ₽</x:v>
      </x:c>
      <x:c r="B8" s="9" t="n">
        <x:f>'Оборудование'!E30</x:f>
        <x:v>30945585</x:v>
      </x:c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Полный стартовый бюджет, ₽</x:v>
      </x:c>
      <x:c r="B9" s="9" t="n">
        <x:f>'Инвестиции'!C20</x:f>
        <x:v>144792389.25675</x:v>
      </x:c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Платежи в стабильный месяц, ₽</x:v>
      </x:c>
      <x:c r="B10" s="9" t="n">
        <x:f>'Зоны'!E14</x:f>
        <x:v>25717270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Поток после налогов / обновления, ₽</x:v>
      </x:c>
      <x:c r="B11" s="9" t="n">
        <x:f>'Зоны'!M14</x:f>
        <x:v>11681253.517095793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Простая окупаемость стабильного режима, мес</x:v>
      </x:c>
      <x:c r="B12" s="21" t="n">
        <x:f>IF(B11&gt;0,B9/B11,"нет")</x:f>
        <x:v>12.395278387276063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Окупаемость с разгоном, мес (горизонт 48)</x:v>
      </x:c>
      <x:c r="B13" s="9" t="n">
        <x:f>IF(MIN('Поток 48 мес'!T7:T54)=999,"За 48 мес. нет",MIN('Поток 48 мес'!T7:T54))</x:f>
        <x:v>15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Выручка первого года, платежи ₽</x:v>
      </x:c>
      <x:c r="B14" s="9" t="n">
        <x:f>SUM('Поток 48 мес'!J7:J18)</x:f>
        <x:v>259243158.17796606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Поток первого года, ₽</x:v>
      </x:c>
      <x:c r="B15" s="9" t="n">
        <x:f>SUM('Поток 48 мес'!R7:R18)</x:f>
        <x:v>105372872.63297305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Накопленный поток за 48 месяцев, ₽</x:v>
      </x:c>
      <x:c r="B16" s="9" t="n">
        <x:f>'Поток 48 мес'!S54</x:f>
        <x:v>396930829.5793153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Точка безубыточности, платежи/месяц ₽</x:v>
      </x:c>
      <x:c r="B17" s="9" t="n">
        <x:f>'Инвестиции'!C35/((SUM('Зоны'!I7:I13)-SUM('Зоны'!K7:L13))/B10)</x:f>
        <x:v>9148350.260500655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Эквивалент посещений для безубыточности</x:v>
      </x:c>
      <x:c r="B18" s="9" t="n">
        <x:f>B17/(B10/'Допущения'!C31/'Допущения'!B8)</x:f>
        <x:v>4658.6124814771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Запрос электрической мощности, кВт</x:v>
      </x:c>
      <x:c r="B19" s="22" t="n">
        <x:f>'Электрика'!E18</x:f>
        <x:v>234.70575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Оплачиваемые FTE</x:v>
      </x:c>
      <x:c r="B20" s="22" t="n">
        <x:f>'Персонал'!C16</x:f>
        <x:v>59.199999999999996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Вместимость детей — рабочая гипотеза</x:v>
      </x:c>
      <x:c r="B21" s="21" t="n">
        <x:v>320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Среднее детей одновременно, выбранный спрос</x:v>
      </x:c>
      <x:c r="B22" s="22" t="n">
        <x:f>'Допущения'!C31*'Допущения'!B8*'Допущения'!B17/'Допущения'!B18/'Допущения'!B16</x:f>
        <x:v>99.2121212121212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Проверка площадей, м²</x:v>
      </x:c>
      <x:c r="B23" s="7" t="n">
        <x:v>3000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Проверки модели</x:v>
      </x:c>
      <x:c r="B27" s="1" t="str">
        <x:v>Результат</x:v>
      </x:c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Доли выручки, сумма</x:v>
      </x:c>
      <x:c r="B28" s="23" t="n">
        <x:f>'Зоны'!N14</x:f>
        <x:v>1</x:v>
      </x:c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Поток зон минус расчетный стабильный поток</x:v>
      </x:c>
      <x:c r="B29" s="4" t="n">
        <x:f>'Зоны'!M14-('Зоны'!I14-'Инвестиции'!C35-'Зоны'!K14-'Зоны'!L14)</x:f>
        <x:v>1.862645149230957e-9</x:v>
      </x:c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Распределение инвестиций минус общий бюджет</x:v>
      </x:c>
      <x:c r="B30" s="4" t="n">
        <x:f>'Зоны'!O14-'Инвестиции'!C20</x:f>
        <x:v>2.9802322387695312e-8</x:v>
      </x:c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str">
        <x:v>Площадь минус задание</x:v>
      </x:c>
      <x:c r="B31" s="1" t="n">
        <x:f>B23-B6</x:f>
        <x:v>0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str">
        <x:v>Вместимость: среднее / рабочий максимум</x:v>
      </x:c>
      <x:c r="B32" s="20" t="n">
        <x:f>B22/B21</x:f>
        <x:v>0.31003787878787875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str">
        <x:v>Статус и ограничения</x:v>
      </x:c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str">
        <x:v>Концепция для выбора помещения и переговоров. Не рабочий проект и не обещание доходности.</x:v>
      </x:c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str">
        <x:v>На 100 м² банкетная комната и сцена трансформируются; полноценная горячая кухня не помещается.</x:v>
      </x:c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Город 300 тыс. жителей — масштаб рынка, а не доказанный спрос. До аренды проверить конкурентов и платежеспособность.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Источники: оборудование robotail.ru (ссылки на листе Оборудование), официальные документы в техническом PDF.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5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RR-FEC-3000 | Допущения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 t="str">
        <x:v>Выбор сценария</x:v>
      </x:c>
      <x:c r="B5" s="10" t="n">
        <x:v>4</x:v>
      </x:c>
      <x:c r="C5" s="1"/>
      <x:c r="D5" s="12" t="str">
        <x:v>Исходный</x:v>
      </x:c>
      <x:c r="E5" s="12" t="str">
        <x:v>Спрос −30%</x:v>
      </x:c>
      <x:c r="F5" s="12" t="str">
        <x:v>Спрос +25%</x:v>
      </x:c>
      <x:c r="G5" s="12" t="str">
        <x:v>Целевой 9–18 мес.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Название</x:v>
      </x:c>
      <x:c r="B6" s="25" t="str">
        <x:f>CHOOSE(B5,D6,E6,F6,G6)</x:f>
        <x:v>Целевая окупаемость</x:v>
      </x:c>
      <x:c r="C6" s="24"/>
      <x:c r="D6" s="27" t="str">
        <x:v>Исходный</x:v>
      </x:c>
      <x:c r="E6" s="27" t="str">
        <x:v>Консервативный</x:v>
      </x:c>
      <x:c r="F6" s="27" t="str">
        <x:v>Рост</x:v>
      </x:c>
      <x:c r="G6" s="27" t="str">
        <x:v>Целевая окупаемость</x:v>
      </x:c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Объемы, множитель</x:v>
      </x:c>
      <x:c r="B7" s="15"/>
      <x:c r="C7" s="7"/>
      <x:c r="D7" s="10" t="n">
        <x:v>1</x:v>
      </x:c>
      <x:c r="E7" s="10" t="n">
        <x:v>0.7</x:v>
      </x:c>
      <x:c r="F7" s="10" t="n">
        <x:v>1.25</x:v>
      </x:c>
      <x:c r="G7" s="10" t="n">
        <x:v>1.637</x:v>
      </x:c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Активный множитель</x:v>
      </x:c>
      <x:c r="B8" s="16" t="n">
        <x:f>CHOOSE(B5,D7,E7,F7,G7)</x:f>
        <x:v>1.637</x:v>
      </x:c>
      <x:c r="C8" s="7"/>
      <x:c r="D8" s="10"/>
      <x:c r="E8" s="10"/>
      <x:c r="F8" s="10"/>
      <x:c r="G8" s="10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НДС, расчетная ставка</x:v>
      </x:c>
      <x:c r="B9" s="20" t="n">
        <x:f>CHOOSE(B5,D9,E9,F9,G9)</x:f>
        <x:v>0.07</x:v>
      </x:c>
      <x:c r="C9" s="7"/>
      <x:c r="D9" s="10" t="n">
        <x:v>0.05</x:v>
      </x:c>
      <x:c r="E9" s="10" t="n">
        <x:v>0.05</x:v>
      </x:c>
      <x:c r="F9" s="10" t="n">
        <x:v>0.05</x:v>
      </x:c>
      <x:c r="G9" s="10" t="n">
        <x:v>0.07</x:v>
      </x:c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УСН, резерв от выручки без НДС</x:v>
      </x:c>
      <x:c r="B10" s="14" t="n">
        <x:v>0.06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Эквайринг от платежей</x:v>
      </x:c>
      <x:c r="B11" s="14" t="n">
        <x:v>0.02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Резерв обновления от выручки без НДС</x:v>
      </x:c>
      <x:c r="B12" s="14" t="n">
        <x:v>0.02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Рост цен за год</x:v>
      </x:c>
      <x:c r="B13" s="14" t="n">
        <x:v>0.03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Инфляция затрат за год</x:v>
      </x:c>
      <x:c r="B14" s="14" t="n">
        <x:v>0.05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Взносы работодателя, бюджетный резерв</x:v>
      </x:c>
      <x:c r="B15" s="14" t="n">
        <x:v>0.302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Открыто часов в день</x:v>
      </x:c>
      <x:c r="B16" s="10" t="n">
        <x:v>11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Среднее пребывание ребенка, часов</x:v>
      </x:c>
      <x:c r="B17" s="16" t="n">
        <x:f>IF(B5=4,2.5,2.5)</x:f>
        <x:v>2.5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Дней работы в месяц</x:v>
      </x:c>
      <x:c r="B18" s="15" t="n">
        <x:v>30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Рабочих часов на полную ставку</x:v>
      </x:c>
      <x:c r="B19" s="15" t="n">
        <x:v>168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Запас покрытия отпусков / отсутствий</x:v>
      </x:c>
      <x:c r="B20" s="15" t="n">
        <x:v>0.15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Открытие и закрытие смены, часов/день</x:v>
      </x:c>
      <x:c r="B21" s="15" t="n">
        <x:v>0.5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Покрытие одного поста, FTE</x:v>
      </x:c>
      <x:c r="B22" s="16" t="n">
        <x:f>(B16+B21)*B18/B19*(1+B20)</x:f>
        <x:v>2.3616071428571423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Расчетная одновременная вместимость, детей</x:v>
      </x:c>
      <x:c r="B23" s="10" t="n">
        <x:v>320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Тариф электричества, ₽/кВт·ч</x:v>
      </x:c>
      <x:c r="B24" s="10" t="n">
        <x:v>9</x:v>
      </x:c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Как читать модель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Синие числа — ввод; зеленые формулы — связи листов; черные — расчет.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Продажи праздников не включают входные билеты и еду: они учтены отдельно.</x:v>
      </x:c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№</x:v>
      </x:c>
      <x:c r="B30" s="1" t="str">
        <x:v>Зона</x:v>
      </x:c>
      <x:c r="C30" s="7" t="str">
        <x:v>Объем / месяц</x:v>
      </x:c>
      <x:c r="D30" s="7" t="str">
        <x:v>Цена, ₽</x:v>
      </x:c>
      <x:c r="E30" s="7" t="str">
        <x:v>Прямые, доля</x:v>
      </x:c>
      <x:c r="F30" s="7" t="str">
        <x:v>Себест./ед., ₽</x:v>
      </x:c>
      <x:c r="G30" s="7" t="str">
        <x:v>Вес общих затрат</x:v>
      </x:c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1</x:v>
      </x:c>
      <x:c r="B31" s="1" t="str">
        <x:v>Входные билеты и свободная игра</x:v>
      </x:c>
      <x:c r="C31" s="10" t="n">
        <x:v>8000</x:v>
      </x:c>
      <x:c r="D31" s="10" t="n">
        <x:v>900</x:v>
      </x:c>
      <x:c r="E31" s="14" t="n">
        <x:v>0.02</x:v>
      </x:c>
      <x:c r="F31" s="10" t="n">
        <x:v>0</x:v>
      </x:c>
      <x:c r="G31" s="14" t="n">
        <x:v>0.35</x:v>
      </x:c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2</x:v>
      </x:c>
      <x:c r="B32" s="1" t="str">
        <x:v>Технологические аттракционы</x:v>
      </x:c>
      <x:c r="C32" s="10" t="n">
        <x:v>5000</x:v>
      </x:c>
      <x:c r="D32" s="10" t="n">
        <x:v>250</x:v>
      </x:c>
      <x:c r="E32" s="14" t="n">
        <x:v>0.05</x:v>
      </x:c>
      <x:c r="F32" s="10" t="n">
        <x:v>0</x:v>
      </x:c>
      <x:c r="G32" s="14" t="n">
        <x:v>0.15</x:v>
      </x:c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 t="n">
        <x:v>3</x:v>
      </x:c>
      <x:c r="B33" s="1" t="str">
        <x:v>Аркады и семейные игры</x:v>
      </x:c>
      <x:c r="C33" s="10" t="n">
        <x:v>9000</x:v>
      </x:c>
      <x:c r="D33" s="10" t="n">
        <x:v>170</x:v>
      </x:c>
      <x:c r="E33" s="14" t="n">
        <x:v>0.2</x:v>
      </x:c>
      <x:c r="F33" s="10" t="n">
        <x:v>0</x:v>
      </x:c>
      <x:c r="G33" s="14" t="n">
        <x:v>0.12</x:v>
      </x:c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 t="n">
        <x:v>4</x:v>
      </x:c>
      <x:c r="B34" s="1" t="str">
        <x:v>Банкетные комнаты и ведущий</x:v>
      </x:c>
      <x:c r="C34" s="10" t="n">
        <x:v>80</x:v>
      </x:c>
      <x:c r="D34" s="10" t="n">
        <x:v>25000</x:v>
      </x:c>
      <x:c r="E34" s="14" t="n">
        <x:v>0.25</x:v>
      </x:c>
      <x:c r="F34" s="10" t="n">
        <x:v>0</x:v>
      </x:c>
      <x:c r="G34" s="14" t="n">
        <x:v>0.12</x:v>
      </x:c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n">
        <x:v>5</x:v>
      </x:c>
      <x:c r="B35" s="1" t="str">
        <x:v>Кафе и ожидание родителей</x:v>
      </x:c>
      <x:c r="C35" s="10" t="n">
        <x:v>4800</x:v>
      </x:c>
      <x:c r="D35" s="10" t="n">
        <x:v>650</x:v>
      </x:c>
      <x:c r="E35" s="14" t="n">
        <x:v>0.35</x:v>
      </x:c>
      <x:c r="F35" s="10" t="n">
        <x:v>0</x:v>
      </x:c>
      <x:c r="G35" s="14" t="n">
        <x:v>0.14</x:v>
      </x:c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n">
        <x:v>6</x:v>
      </x:c>
      <x:c r="B36" s="1" t="str">
        <x:v>Платные мастер-классы</x:v>
      </x:c>
      <x:c r="C36" s="10" t="n">
        <x:v>600</x:v>
      </x:c>
      <x:c r="D36" s="10" t="n">
        <x:v>600</x:v>
      </x:c>
      <x:c r="E36" s="14" t="n">
        <x:v>0.3</x:v>
      </x:c>
      <x:c r="F36" s="10" t="n">
        <x:v>0</x:v>
      </x:c>
      <x:c r="G36" s="14" t="n">
        <x:v>0.08</x:v>
      </x:c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n">
        <x:v>7</x:v>
      </x:c>
      <x:c r="B37" s="1" t="str">
        <x:v>Нейрофото</x:v>
      </x:c>
      <x:c r="C37" s="10" t="n">
        <x:v>1000</x:v>
      </x:c>
      <x:c r="D37" s="10" t="n">
        <x:v>250</x:v>
      </x:c>
      <x:c r="E37" s="14" t="n">
        <x:v>0</x:v>
      </x:c>
      <x:c r="F37" s="10" t="n">
        <x:v>50</x:v>
      </x:c>
      <x:c r="G37" s="14" t="n">
        <x:v>0.04</x:v>
      </x:c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Месяц</x:v>
      </x:c>
      <x:c r="B41" s="1" t="str">
        <x:v>Сезонность, индекс</x:v>
      </x:c>
      <x:c r="C41" s="7" t="str">
        <x:v>Нормированный индекс</x:v>
      </x:c>
      <x:c r="D41" s="7" t="str">
        <x:v>Разгон посещаемости</x:v>
      </x:c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 t="n">
        <x:v>1</x:v>
      </x:c>
      <x:c r="B42" s="1" t="n">
        <x:v>1.1</x:v>
      </x:c>
      <x:c r="C42" s="16" t="n">
        <x:f>B42/AVERAGE($B$42:$B$53)</x:f>
        <x:v>1.1186440677966103</x:v>
      </x:c>
      <x:c r="D42" s="16" t="n">
        <x:v>0.45</x:v>
      </x:c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 t="n">
        <x:v>2</x:v>
      </x:c>
      <x:c r="B43" s="1" t="n">
        <x:v>1.05</x:v>
      </x:c>
      <x:c r="C43" s="16" t="n">
        <x:f>B43/AVERAGE($B$42:$B$53)</x:f>
        <x:v>1.0677966101694916</x:v>
      </x:c>
      <x:c r="D43" s="16" t="n">
        <x:v>0.55</x:v>
      </x:c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 t="n">
        <x:v>3</x:v>
      </x:c>
      <x:c r="B44" s="1" t="n">
        <x:v>1</x:v>
      </x:c>
      <x:c r="C44" s="16" t="n">
        <x:f>B44/AVERAGE($B$42:$B$53)</x:f>
        <x:v>1.0169491525423728</x:v>
      </x:c>
      <x:c r="D44" s="16" t="n">
        <x:v>0.65</x:v>
      </x:c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 t="n">
        <x:v>4</x:v>
      </x:c>
      <x:c r="B45" s="1" t="n">
        <x:v>0.9</x:v>
      </x:c>
      <x:c r="C45" s="16" t="n">
        <x:f>B45/AVERAGE($B$42:$B$53)</x:f>
        <x:v>0.9152542372881356</x:v>
      </x:c>
      <x:c r="D45" s="16" t="n">
        <x:v>0.75</x:v>
      </x:c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 t="n">
        <x:v>5</x:v>
      </x:c>
      <x:c r="B46" s="1" t="n">
        <x:v>0.85</x:v>
      </x:c>
      <x:c r="C46" s="16" t="n">
        <x:f>B46/AVERAGE($B$42:$B$53)</x:f>
        <x:v>0.8644067796610169</x:v>
      </x:c>
      <x:c r="D46" s="16" t="n">
        <x:v>0.85</x:v>
      </x:c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 t="n">
        <x:v>6</x:v>
      </x:c>
      <x:c r="B47" s="1" t="n">
        <x:v>0.7</x:v>
      </x:c>
      <x:c r="C47" s="16" t="n">
        <x:f>B47/AVERAGE($B$42:$B$53)</x:f>
        <x:v>0.7118644067796609</x:v>
      </x:c>
      <x:c r="D47" s="16" t="n">
        <x:v>0.9</x:v>
      </x:c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 t="n">
        <x:v>7</x:v>
      </x:c>
      <x:c r="B48" s="1" t="n">
        <x:v>0.75</x:v>
      </x:c>
      <x:c r="C48" s="16" t="n">
        <x:f>B48/AVERAGE($B$42:$B$53)</x:f>
        <x:v>0.7627118644067796</x:v>
      </x:c>
      <x:c r="D48" s="16" t="n">
        <x:v>0.95</x:v>
      </x:c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 t="n">
        <x:v>8</x:v>
      </x:c>
      <x:c r="B49" s="1" t="n">
        <x:v>0.8</x:v>
      </x:c>
      <x:c r="C49" s="16" t="n">
        <x:f>B49/AVERAGE($B$42:$B$53)</x:f>
        <x:v>0.8135593220338982</x:v>
      </x:c>
      <x:c r="D49" s="16" t="n">
        <x:v>1</x:v>
      </x:c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 t="n">
        <x:v>9</x:v>
      </x:c>
      <x:c r="B50" s="1" t="n">
        <x:v>1.05</x:v>
      </x:c>
      <x:c r="C50" s="16" t="n">
        <x:f>B50/AVERAGE($B$42:$B$53)</x:f>
        <x:v>1.0677966101694916</x:v>
      </x:c>
      <x:c r="D50" s="16" t="n">
        <x:v>1</x:v>
      </x:c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 t="n">
        <x:v>10</x:v>
      </x:c>
      <x:c r="B51" s="1" t="n">
        <x:v>1.15</x:v>
      </x:c>
      <x:c r="C51" s="16" t="n">
        <x:f>B51/AVERAGE($B$42:$B$53)</x:f>
        <x:v>1.1694915254237286</x:v>
      </x:c>
      <x:c r="D51" s="16" t="n">
        <x:v>1</x:v>
      </x:c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 t="n">
        <x:v>11</x:v>
      </x:c>
      <x:c r="B52" s="1" t="n">
        <x:v>1.2</x:v>
      </x:c>
      <x:c r="C52" s="16" t="n">
        <x:f>B52/AVERAGE($B$42:$B$53)</x:f>
        <x:v>1.2203389830508473</x:v>
      </x:c>
      <x:c r="D52" s="16" t="n">
        <x:v>1</x:v>
      </x:c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 t="n">
        <x:v>12</x:v>
      </x:c>
      <x:c r="B53" s="1" t="n">
        <x:v>1.25</x:v>
      </x:c>
      <x:c r="C53" s="16" t="n">
        <x:f>B53/AVERAGE($B$42:$B$53)</x:f>
        <x:v>1.271186440677966</x:v>
      </x:c>
      <x:c r="D53" s="16" t="n">
        <x:v>1</x:v>
      </x:c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 t="str">
        <x:v>Ограничения</x:v>
      </x:c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 t="str">
        <x:v>М1 условно январь. Для другой даты открытия перенесите сезонность, сохранив средний индекс 1.</x:v>
      </x:c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 t="str">
        <x:v>Налоги — консервативный резерв для сравнения; налоговый режим проверяется для юридического лица и года запуска.</x:v>
      </x:c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 t="str">
        <x:v>Зарплаты — бюджетные ориентиры для города 300 тыс. жителей, не исследование рынка вакансий.</x:v>
      </x:c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 t="str">
        <x:v>Все продажи, аренда, ставки и сроки нуждаются в локальной проверке до инвестирования.</x:v>
      </x:c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 t="str">
        <x:v>Сценарий 4 решает обратную задачу окупаемости; требуемый спрос не подтвержден рынком.</x:v>
      </x:c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 t="str">
        <x:v>100 м²: целевой сценарий требует сеансов в среднем 90 минут и бронирования по времени.</x:v>
      </x:c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dataValidations count="1">
    <x:dataValidation type="list" sqref="B5">
      <x:formula1>"1,2,3,4"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  <x:col min="9" max="9" width="48" hidden="0" customWidth="1"/>
    <x:col min="10" max="10" width="4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RR-FEC-3000 | Оборудование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Оборудование RR</x:v>
      </x:c>
      <x:c r="C6" s="24" t="str">
        <x:v>Кол-во</x:v>
      </x:c>
      <x:c r="D6" s="24" t="str">
        <x:v>Цена, ₽</x:v>
      </x:c>
      <x:c r="E6" s="24" t="str">
        <x:v>Сумма, ₽</x:v>
      </x:c>
      <x:c r="F6" s="24" t="str">
        <x:v>кВт/ед.</x:v>
      </x:c>
      <x:c r="G6" s="24" t="str">
        <x:v>Всего кВт</x:v>
      </x:c>
      <x:c r="H6" s="24" t="str">
        <x:v>Источник / статус мощности</x:v>
      </x:c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str">
        <x:v>M5</x:v>
      </x:c>
      <x:c r="B7" s="28" t="str">
        <x:v>Лабиринт «Крутые виражи»</x:v>
      </x:c>
      <x:c r="C7" s="10" t="n">
        <x:v>1</x:v>
      </x:c>
      <x:c r="D7" s="10" t="n">
        <x:v>5141875</x:v>
      </x:c>
      <x:c r="E7" s="7" t="n">
        <x:f>C7*D7</x:f>
        <x:v>5141875</x:v>
      </x:c>
      <x:c r="F7" s="19" t="n">
        <x:v>0</x:v>
      </x:c>
      <x:c r="G7" s="18" t="n">
        <x:f>C7*F7</x:f>
        <x:v>0</x:v>
      </x:c>
      <x:c r="H7" s="28" t="str">
        <x:v>Пассивный</x:v>
      </x:c>
      <x:c r="I7" s="28" t="str">
        <x:v>https://robotail.ru/product/detskiy-igrovoy-labirint-krutye-virazhi-178m-1151554m</x:v>
      </x:c>
      <x:c r="J7" s="28" t="str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str">
        <x:v>M6</x:v>
      </x:c>
      <x:c r="B8" s="28" t="str">
        <x:v>Лабиринт «Сказочный остров»</x:v>
      </x:c>
      <x:c r="C8" s="10" t="n">
        <x:v>1</x:v>
      </x:c>
      <x:c r="D8" s="10" t="n">
        <x:v>2646250</x:v>
      </x:c>
      <x:c r="E8" s="7" t="n">
        <x:f>C8*D8</x:f>
        <x:v>2646250</x:v>
      </x:c>
      <x:c r="F8" s="19" t="n">
        <x:v>0</x:v>
      </x:c>
      <x:c r="G8" s="18" t="n">
        <x:f>C8*F8</x:f>
        <x:v>0</x:v>
      </x:c>
      <x:c r="H8" s="28" t="str">
        <x:v>Пассивный</x:v>
      </x:c>
      <x:c r="I8" s="28" t="str">
        <x:v>https://robotail.ru/product/detskiy-igrovoy-labirint-skazochnyy-ostrov-983-m-115x855x4-m</x:v>
      </x:c>
      <x:c r="J8" s="28" t="str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str">
        <x:v>P1</x:v>
      </x:c>
      <x:c r="B9" s="28" t="str">
        <x:v>Pixel Battle 96: полный комплект</x:v>
      </x:c>
      <x:c r="C9" s="10" t="n">
        <x:v>4</x:v>
      </x:c>
      <x:c r="D9" s="10" t="n">
        <x:v>808840</x:v>
      </x:c>
      <x:c r="E9" s="7" t="n">
        <x:f>C9*D9</x:f>
        <x:v>3235360</x:v>
      </x:c>
      <x:c r="F9" s="19" t="n">
        <x:v>2</x:v>
      </x:c>
      <x:c r="G9" s="18" t="n">
        <x:f>C9*F9</x:f>
        <x:v>8</x:v>
      </x:c>
      <x:c r="H9" s="28" t="str">
        <x:v>Резерв, паспорт не опубликован</x:v>
      </x:c>
      <x:c r="I9" s="28" t="str">
        <x:v>https://robotail.ru/product/gotovaya-igrovaya-arena-pixel-battle-96-plitok-komplekt-vsyo-vklyucheno</x:v>
      </x:c>
      <x:c r="J9" s="28" t="str">
        <x:v>Поле, ПК, игры, звук, стойка, ТВ, шкаф и кабели в комплекте; не считать повторно.</x:v>
      </x:c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str">
        <x:v>W1</x:v>
      </x:c>
      <x:c r="B10" s="28" t="str">
        <x:v>Проектор настенный NEW</x:v>
      </x:c>
      <x:c r="C10" s="10" t="n">
        <x:v>1</x:v>
      </x:c>
      <x:c r="D10" s="10" t="n">
        <x:v>189000</x:v>
      </x:c>
      <x:c r="E10" s="7" t="n">
        <x:f>C10*D10</x:f>
        <x:v>189000</x:v>
      </x:c>
      <x:c r="F10" s="19" t="n">
        <x:v>0.8</x:v>
      </x:c>
      <x:c r="G10" s="18" t="n">
        <x:f>C10*F10</x:f>
        <x:v>0.8</x:v>
      </x:c>
      <x:c r="H10" s="28" t="str">
        <x:v>Расчетный резерв</x:v>
      </x:c>
      <x:c r="I10" s="28" t="str">
        <x:v>https://robotail.ru/product/interaktivnyy-proektor-nastennyy-new-maksimalnaya-komplektatsiya</x:v>
      </x:c>
      <x:c r="J10" s="28" t="str">
        <x:v>Габарит на плане — игровая зона, не корпус. Монтаж по оптике проектора.</x:v>
      </x:c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str">
        <x:v>F1</x:v>
      </x:c>
      <x:c r="B11" s="28" t="str">
        <x:v>Проектор напольный Max</x:v>
      </x:c>
      <x:c r="C11" s="10" t="n">
        <x:v>1</x:v>
      </x:c>
      <x:c r="D11" s="10" t="n">
        <x:v>210000</x:v>
      </x:c>
      <x:c r="E11" s="7" t="n">
        <x:f>C11*D11</x:f>
        <x:v>210000</x:v>
      </x:c>
      <x:c r="F11" s="19" t="n">
        <x:v>0.8</x:v>
      </x:c>
      <x:c r="G11" s="18" t="n">
        <x:f>C11*F11</x:f>
        <x:v>0.8</x:v>
      </x:c>
      <x:c r="H11" s="28" t="str">
        <x:v>Расчетный резерв</x:v>
      </x:c>
      <x:c r="I11" s="28" t="str">
        <x:v>https://robotail.ru/product/interaktivnyy-proektor-napolnyy-maksimalnaya-komplektatsiya</x:v>
      </x:c>
      <x:c r="J11" s="28" t="str">
        <x:v>Габарит — игровое поле. ПК и крепеж учтены в комплекте.</x:v>
      </x:c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str">
        <x:v>I1</x:v>
      </x:c>
      <x:c r="B12" s="28" t="str">
        <x:v>Мультимедийная комната: 3 стены + пол</x:v>
      </x:c>
      <x:c r="C12" s="10" t="n">
        <x:v>2</x:v>
      </x:c>
      <x:c r="D12" s="10" t="n">
        <x:v>777000</x:v>
      </x:c>
      <x:c r="E12" s="7" t="n">
        <x:f>C12*D12</x:f>
        <x:v>1554000</x:v>
      </x:c>
      <x:c r="F12" s="19" t="n">
        <x:v>3.2</x:v>
      </x:c>
      <x:c r="G12" s="18" t="n">
        <x:f>C12*F12</x:f>
        <x:v>6.4</x:v>
      </x:c>
      <x:c r="H12" s="28" t="str">
        <x:v>Расчетный резерв</x:v>
      </x:c>
      <x:c r="I12" s="28" t="str">
        <x:v>https://robotail.ru/product/multimediynaya-detskaya-komnata-s-proektorami-30-m</x:v>
      </x:c>
      <x:c r="J12" s="28" t="str">
        <x:v>Площадь комнаты 36 м² — проектное допущение; четыре проектора с ПК уже включены.</x:v>
      </x:c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str">
        <x:v>L1</x:v>
      </x:c>
      <x:c r="B13" s="28" t="str">
        <x:v>Лазерный лабиринт 38 м²</x:v>
      </x:c>
      <x:c r="C13" s="10" t="n">
        <x:v>2</x:v>
      </x:c>
      <x:c r="D13" s="10" t="n">
        <x:v>680000</x:v>
      </x:c>
      <x:c r="E13" s="7" t="n">
        <x:f>C13*D13</x:f>
        <x:v>1360000</x:v>
      </x:c>
      <x:c r="F13" s="19" t="n">
        <x:v>1</x:v>
      </x:c>
      <x:c r="G13" s="18" t="n">
        <x:f>C13*F13</x:f>
        <x:v>2</x:v>
      </x:c>
      <x:c r="H13" s="28" t="str">
        <x:v>Расчетный резерв</x:v>
      </x:c>
      <x:c r="I13" s="28" t="str">
        <x:v>https://robotail.ru/product/lazernyy-labirint</x:v>
      </x:c>
      <x:c r="J13" s="28" t="str">
        <x:v>Габарит комнаты — допущение; нужен паспорт лазеров, класс и оценка доступного излучения.</x:v>
      </x:c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str">
        <x:v>T1</x:v>
      </x:c>
      <x:c r="B14" s="28" t="str">
        <x:v>Интерактивная «Топталка»</x:v>
      </x:c>
      <x:c r="C14" s="10" t="n">
        <x:v>2</x:v>
      </x:c>
      <x:c r="D14" s="10" t="n">
        <x:v>490000</x:v>
      </x:c>
      <x:c r="E14" s="7" t="n">
        <x:f>C14*D14</x:f>
        <x:v>980000</x:v>
      </x:c>
      <x:c r="F14" s="19" t="n">
        <x:v>0.6</x:v>
      </x:c>
      <x:c r="G14" s="18" t="n">
        <x:f>C14*F14</x:f>
        <x:v>1.2</x:v>
      </x:c>
      <x:c r="H14" s="28" t="str">
        <x:v>Расчетный резерв</x:v>
      </x:c>
      <x:c r="I14" s="28" t="str">
        <x:v>https://robotail.ru/product/interaktiv-bystrye-nogi</x:v>
      </x:c>
      <x:c r="J14" s="28" t="str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38" customHeight="1">
      <x:c r="A15" s="1" t="str">
        <x:v>J1</x:v>
      </x:c>
      <x:c r="B15" s="28" t="str">
        <x:v>Energy Jump</x:v>
      </x:c>
      <x:c r="C15" s="10" t="n">
        <x:v>3</x:v>
      </x:c>
      <x:c r="D15" s="10" t="n">
        <x:v>790000</x:v>
      </x:c>
      <x:c r="E15" s="7" t="n">
        <x:f>C15*D15</x:f>
        <x:v>2370000</x:v>
      </x:c>
      <x:c r="F15" s="19" t="n">
        <x:v>0.4</x:v>
      </x:c>
      <x:c r="G15" s="18" t="n">
        <x:f>C15*F15</x:f>
        <x:v>1.2000000000000002</x:v>
      </x:c>
      <x:c r="H15" s="28" t="str">
        <x:v>400 Вт в описании; поле напряжения противоречиво</x:v>
      </x:c>
      <x:c r="I15" s="28" t="str">
        <x:v>https://robotail.ru/product/interaktivnyy-batut-energy-jump</x:v>
      </x:c>
      <x:c r="J15" s="28" t="str">
        <x:v>Питание не считать 400 В по названию поля: требуется паспорт и подтверждение изготовителя.</x:v>
      </x:c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38" customHeight="1">
      <x:c r="A16" s="1" t="str">
        <x:v>V1</x:v>
      </x:c>
      <x:c r="B16" s="28" t="str">
        <x:v>VR Crazy Egg, два места</x:v>
      </x:c>
      <x:c r="C16" s="10" t="n">
        <x:v>3</x:v>
      </x:c>
      <x:c r="D16" s="10" t="n">
        <x:v>890000</x:v>
      </x:c>
      <x:c r="E16" s="7" t="n">
        <x:f>C16*D16</x:f>
        <x:v>2670000</x:v>
      </x:c>
      <x:c r="F16" s="19" t="n">
        <x:v>0.8</x:v>
      </x:c>
      <x:c r="G16" s="18" t="n">
        <x:f>C16*F16</x:f>
        <x:v>2.4000000000000004</x:v>
      </x:c>
      <x:c r="H16" s="28" t="str">
        <x:v>800 Вт по сайту</x:v>
      </x:c>
      <x:c r="I16" s="28" t="str">
        <x:v>https://robotail.ru/product/attraktsion-virtualnoy-realnosti-srazy-egg-10d</x:v>
      </x:c>
      <x:c r="J16" s="28" t="str">
        <x:v>6+ по карточке. Стойка оператора дополнительно 0,55×0,5 м; зона движения по паспорту.</x:v>
      </x:c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38" customHeight="1">
      <x:c r="A17" s="1" t="str">
        <x:v>A1</x:v>
      </x:c>
      <x:c r="B17" s="28" t="str">
        <x:v>Аркада «4 в ряд 2.0», базовая</x:v>
      </x:c>
      <x:c r="C17" s="10" t="n">
        <x:v>8</x:v>
      </x:c>
      <x:c r="D17" s="10" t="n">
        <x:v>362000</x:v>
      </x:c>
      <x:c r="E17" s="7" t="n">
        <x:f>C17*D17</x:f>
        <x:v>2896000</x:v>
      </x:c>
      <x:c r="F17" s="19" t="n">
        <x:v>0.13</x:v>
      </x:c>
      <x:c r="G17" s="18" t="n">
        <x:f>C17*F17</x:f>
        <x:v>1.04</x:v>
      </x:c>
      <x:c r="H17" s="28" t="str">
        <x:v>130 Вт по сайту</x:v>
      </x:c>
      <x:c r="I17" s="28" t="str">
        <x:v>https://robotail.ru/product/prizovoy-arkadnyy-avtomat-4-v-ryad-20</x:v>
      </x:c>
      <x:c r="J17" s="28" t="str">
        <x:v>Без витрины. В проекте только режим навыка и прозрачные баллы, без денежных призов.</x:v>
      </x:c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38" customHeight="1">
      <x:c r="A18" s="1" t="str">
        <x:v>A2</x:v>
      </x:c>
      <x:c r="B18" s="28" t="str">
        <x:v>Retro Games «Комиксы»</x:v>
      </x:c>
      <x:c r="C18" s="10" t="n">
        <x:v>8</x:v>
      </x:c>
      <x:c r="D18" s="10" t="n">
        <x:v>145600</x:v>
      </x:c>
      <x:c r="E18" s="7" t="n">
        <x:f>C18*D18</x:f>
        <x:v>1164800</x:v>
      </x:c>
      <x:c r="F18" s="19" t="n">
        <x:v>0.15</x:v>
      </x:c>
      <x:c r="G18" s="18" t="n">
        <x:f>C18*F18</x:f>
        <x:v>1.2</x:v>
      </x:c>
      <x:c r="H18" s="28" t="str">
        <x:v>150 Вт по сайту</x:v>
      </x:c>
      <x:c r="I18" s="28" t="str">
        <x:v>https://robotail.ru/product/retro-games-komiksy-arkadnyy-avtomat</x:v>
      </x:c>
      <x:c r="J18" s="28" t="str">
        <x:v>7+ по карточке.</x:v>
      </x:c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38" customHeight="1">
      <x:c r="A19" s="1" t="str">
        <x:v>A3</x:v>
      </x:c>
      <x:c r="B19" s="28" t="str">
        <x:v>Супер Драйв</x:v>
      </x:c>
      <x:c r="C19" s="10" t="n">
        <x:v>8</x:v>
      </x:c>
      <x:c r="D19" s="10" t="n">
        <x:v>168000</x:v>
      </x:c>
      <x:c r="E19" s="7" t="n">
        <x:f>C19*D19</x:f>
        <x:v>1344000</x:v>
      </x:c>
      <x:c r="F19" s="19" t="n">
        <x:v>0.3</x:v>
      </x:c>
      <x:c r="G19" s="18" t="n">
        <x:f>C19*F19</x:f>
        <x:v>2.4</x:v>
      </x:c>
      <x:c r="H19" s="28" t="str">
        <x:v>Расчетный резерв</x:v>
      </x:c>
      <x:c r="I19" s="28" t="str">
        <x:v>https://robotail.ru/product/super-drayv-detskiy-gonochnyy-video-simulyator</x:v>
      </x:c>
      <x:c r="J19" s="28" t="str">
        <x:v>5+ по карточке.</x:v>
      </x:c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38" customHeight="1">
      <x:c r="A20" s="1" t="str">
        <x:v>A4</x:v>
      </x:c>
      <x:c r="B20" s="28" t="str">
        <x:v>Аэрохоккей стальной с лампой 220×120</x:v>
      </x:c>
      <x:c r="C20" s="10" t="n">
        <x:v>4</x:v>
      </x:c>
      <x:c r="D20" s="10" t="n">
        <x:v>237500</x:v>
      </x:c>
      <x:c r="E20" s="7" t="n">
        <x:f>C20*D20</x:f>
        <x:v>950000</x:v>
      </x:c>
      <x:c r="F20" s="19" t="n">
        <x:v>0.5</x:v>
      </x:c>
      <x:c r="G20" s="18" t="n">
        <x:f>C20*F20</x:f>
        <x:v>2</x:v>
      </x:c>
      <x:c r="H20" s="28" t="str">
        <x:v>Расчетный резерв</x:v>
      </x:c>
      <x:c r="I20" s="28" t="str">
        <x:v>https://robotail.ru/product/aerohokkey-kosmos-22012075-sm-plexiglas</x:v>
      </x:c>
      <x:c r="J20" s="28" t="str">
        <x:v>175 кг; рабочая зона с игроками ориентировочно 4,4×2,2 м. 7+.</x:v>
      </x:c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38" customHeight="1">
      <x:c r="A21" s="1" t="str">
        <x:v>A5</x:v>
      </x:c>
      <x:c r="B21" s="28" t="str">
        <x:v>Rocky Boxer NEW</x:v>
      </x:c>
      <x:c r="C21" s="10" t="n">
        <x:v>2</x:v>
      </x:c>
      <x:c r="D21" s="10" t="n">
        <x:v>225000</x:v>
      </x:c>
      <x:c r="E21" s="7" t="n">
        <x:f>C21*D21</x:f>
        <x:v>450000</x:v>
      </x:c>
      <x:c r="F21" s="19" t="n">
        <x:v>0.04</x:v>
      </x:c>
      <x:c r="G21" s="18" t="n">
        <x:f>C21*F21</x:f>
        <x:v>0.08</x:v>
      </x:c>
      <x:c r="H21" s="28" t="str">
        <x:v>40 Вт по описанию</x:v>
      </x:c>
      <x:c r="I21" s="28" t="str">
        <x:v>https://robotail.ru/product/silomer-rocky-boxer-4-h-znachnyy-displey-korpus-new</x:v>
      </x:c>
      <x:c r="J21" s="28" t="str">
        <x:v>Только подростки 12+ и взрослые, отдельная зона удара.</x:v>
      </x:c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38" customHeight="1">
      <x:c r="A22" s="1" t="str">
        <x:v>C1</x:v>
      </x:c>
      <x:c r="B22" s="28" t="str">
        <x:v>Шахматный робот Chess</x:v>
      </x:c>
      <x:c r="C22" s="10" t="n">
        <x:v>4</x:v>
      </x:c>
      <x:c r="D22" s="10" t="n">
        <x:v>149000</x:v>
      </x:c>
      <x:c r="E22" s="7" t="n">
        <x:f>C22*D22</x:f>
        <x:v>596000</x:v>
      </x:c>
      <x:c r="F22" s="19" t="n">
        <x:v>0.05</x:v>
      </x:c>
      <x:c r="G22" s="18" t="n">
        <x:f>C22*F22</x:f>
        <x:v>0.2</x:v>
      </x:c>
      <x:c r="H22" s="28" t="str">
        <x:v>Расчетный резерв</x:v>
      </x:c>
      <x:c r="I22" s="28" t="str">
        <x:v>https://robotail.ru/product/shahmatnyy-robot-chess</x:v>
      </x:c>
      <x:c r="J22" s="28" t="str">
        <x:v>На столе в кафе, отдельная выручка не начисляется.</x:v>
      </x:c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38" customHeight="1">
      <x:c r="A23" s="1" t="str">
        <x:v>H1</x:v>
      </x:c>
      <x:c r="B23" s="28" t="str">
        <x:v>Нейрофотостойка 43 дюйма</x:v>
      </x:c>
      <x:c r="C23" s="10" t="n">
        <x:v>2</x:v>
      </x:c>
      <x:c r="D23" s="10" t="n">
        <x:v>520000</x:v>
      </x:c>
      <x:c r="E23" s="7" t="n">
        <x:f>C23*D23</x:f>
        <x:v>1040000</x:v>
      </x:c>
      <x:c r="F23" s="19" t="n">
        <x:v>0.078</x:v>
      </x:c>
      <x:c r="G23" s="18" t="n">
        <x:f>C23*F23</x:f>
        <x:v>0.156</x:v>
      </x:c>
      <x:c r="H23" s="28" t="str">
        <x:v>78 Вт по сайту</x:v>
      </x:c>
      <x:c r="I23" s="28" t="str">
        <x:v>https://robotail.ru/product/avtomat-momentalnogo-volshebstva-foto-neyroset</x:v>
      </x:c>
      <x:c r="J23" s="28" t="str">
        <x:v>Бумага, ИИ-тариф и согласия на фото уточняются; 50 ₽/снимок — допущение.</x:v>
      </x:c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38" customHeight="1">
      <x:c r="A24" s="1" t="str">
        <x:v>B1</x:v>
      </x:c>
      <x:c r="B24" s="28" t="str">
        <x:v>Сухой бассейн «Лягушонок» 1,2 м</x:v>
      </x:c>
      <x:c r="C24" s="10" t="n">
        <x:v>3</x:v>
      </x:c>
      <x:c r="D24" s="10" t="n">
        <x:v>20580</x:v>
      </x:c>
      <x:c r="E24" s="7" t="n">
        <x:f>C24*D24</x:f>
        <x:v>61740</x:v>
      </x:c>
      <x:c r="F24" s="19" t="n">
        <x:v>0</x:v>
      </x:c>
      <x:c r="G24" s="18" t="n">
        <x:f>C24*F24</x:f>
        <x:v>0</x:v>
      </x:c>
      <x:c r="H24" s="28" t="str">
        <x:v>Пассивный</x:v>
      </x:c>
      <x:c r="I24" s="28" t="str">
        <x:v>https://robotail.ru/product/basseyn-kvadratnyy-lyagushonok-razbornyy-120h120h40-sm</x:v>
      </x:c>
      <x:c r="J24" s="28" t="str">
        <x:v>Выбран первый вариант 120×120×40 см.</x:v>
      </x:c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38" customHeight="1">
      <x:c r="A25" s="1" t="str">
        <x:v>B2</x:v>
      </x:c>
      <x:c r="B25" s="29" t="str">
        <x:v>Сухой бассейн по проекту 7,3×2,85 м</x:v>
      </x:c>
      <x:c r="C25" s="10" t="n">
        <x:v>2</x:v>
      </x:c>
      <x:c r="D25" s="10" t="n">
        <x:v>242880</x:v>
      </x:c>
      <x:c r="E25" s="7" t="n">
        <x:f>C25*D25</x:f>
        <x:v>485760</x:v>
      </x:c>
      <x:c r="F25" s="19" t="n">
        <x:v>0</x:v>
      </x:c>
      <x:c r="G25" s="18" t="n">
        <x:f>C25*F25</x:f>
        <x:v>0</x:v>
      </x:c>
      <x:c r="H25" s="28" t="str">
        <x:v>Пассивный</x:v>
      </x:c>
      <x:c r="I25" s="28" t="str">
        <x:v>https://robotail.ru/product/suhoy-basseyn-po-individualnomu-proektu-73h285-m</x:v>
      </x:c>
      <x:c r="J25" s="28" t="str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38" customHeight="1">
      <x:c r="A26" s="1" t="str">
        <x:v>S1</x:v>
      </x:c>
      <x:c r="B26" s="29" t="str">
        <x:v>Мягкий конструктор «Форт», 17 элементов</x:v>
      </x:c>
      <x:c r="C26" s="10" t="n">
        <x:v>8</x:v>
      </x:c>
      <x:c r="D26" s="10" t="n">
        <x:v>17900</x:v>
      </x:c>
      <x:c r="E26" s="7" t="n">
        <x:f>C26*D26</x:f>
        <x:v>143200</x:v>
      </x:c>
      <x:c r="F26" s="19" t="n">
        <x:v>0</x:v>
      </x:c>
      <x:c r="G26" s="18" t="n">
        <x:f>C26*F26</x:f>
        <x:v>0</x:v>
      </x:c>
      <x:c r="H26" s="28" t="str">
        <x:v>Пассивный</x:v>
      </x:c>
      <x:c r="I26" s="28" t="str">
        <x:v>https://robotail.ru/product/detskie-moduli-konstruktor-fort-17-el</x:v>
      </x:c>
      <x:c r="J26" s="28" t="str">
        <x:v>2×2 м — зона игры, не габарит упаковки; наборы хранятся в стеллаже и выдаются поочередно.</x:v>
      </x:c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38" customHeight="1">
      <x:c r="A27" s="1" t="str">
        <x:v>B3</x:v>
      </x:c>
      <x:c r="B27" s="29" t="str">
        <x:v>Шарики для бассейна 70 мм, дополнительный запас</x:v>
      </x:c>
      <x:c r="C27" s="10" t="n">
        <x:v>60000</x:v>
      </x:c>
      <x:c r="D27" s="10" t="n">
        <x:v>6</x:v>
      </x:c>
      <x:c r="E27" s="7" t="n">
        <x:f>C27*D27</x:f>
        <x:v>360000</x:v>
      </x:c>
      <x:c r="F27" s="19" t="n">
        <x:v>0</x:v>
      </x:c>
      <x:c r="G27" s="18" t="n">
        <x:f>C27*F27</x:f>
        <x:v>0</x:v>
      </x:c>
      <x:c r="H27" s="28" t="str">
        <x:v>Пассивный</x:v>
      </x:c>
      <x:c r="I27" s="28" t="str">
        <x:v>https://robotail.ru/product/shariki-dlya-suhogo-basseyna-70-mm-2</x:v>
      </x:c>
      <x:c r="J27" s="28" t="str">
        <x:v>Количество предварительное. Исключить дубли с шарами из комплектации лабиринта по итоговой ведомости.</x:v>
      </x:c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38" customHeight="1">
      <x:c r="A28" s="1" t="str">
        <x:v>B4</x:v>
      </x:c>
      <x:c r="B28" s="29" t="str">
        <x:v>Фонтан «Триколор»</x:v>
      </x:c>
      <x:c r="C28" s="10" t="n">
        <x:v>2</x:v>
      </x:c>
      <x:c r="D28" s="10" t="n">
        <x:v>98800</x:v>
      </x:c>
      <x:c r="E28" s="7" t="n">
        <x:f>C28*D28</x:f>
        <x:v>197600</x:v>
      </x:c>
      <x:c r="F28" s="19" t="n">
        <x:v>0.6</x:v>
      </x:c>
      <x:c r="G28" s="18" t="n">
        <x:f>C28*F28</x:f>
        <x:v>1.2</x:v>
      </x:c>
      <x:c r="H28" s="28" t="str">
        <x:v>Резерв 600 Вт; в свойствах также 60 Вт</x:v>
      </x:c>
      <x:c r="I28" s="28" t="str">
        <x:v>https://robotail.ru/product/fontan-dlya-suhogo-basseyna-trikolor</x:v>
      </x:c>
      <x:c r="J28" s="28" t="str">
        <x:v>Противоречие 60/600 Вт. До закупки паспорт. В малом бассейне не ставить.</x:v>
      </x:c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38" customHeight="1">
      <x:c r="A29" s="1" t="str">
        <x:v>R1</x:v>
      </x:c>
      <x:c r="B29" s="29" t="str">
        <x:v>Шаромойка Компакт с сушкой</x:v>
      </x:c>
      <x:c r="C29" s="10" t="n">
        <x:v>2</x:v>
      </x:c>
      <x:c r="D29" s="10" t="n">
        <x:v>450000</x:v>
      </x:c>
      <x:c r="E29" s="7" t="n">
        <x:f>C29*D29</x:f>
        <x:v>900000</x:v>
      </x:c>
      <x:c r="F29" s="19" t="n">
        <x:v>2.5</x:v>
      </x:c>
      <x:c r="G29" s="18" t="n">
        <x:f>C29*F29</x:f>
        <x:v>5</x:v>
      </x:c>
      <x:c r="H29" s="28" t="str">
        <x:v>2,5 кВт по сайту</x:v>
      </x:c>
      <x:c r="I29" s="28" t="str">
        <x:v>https://robotail.ru/product/sharomoyka-kompakt-s-sushkoy</x:v>
      </x:c>
      <x:c r="J29" s="28" t="str">
        <x:v>Отдельная хозяйственная мойка, водоподготовка, слив и влажная электрозона.</x:v>
      </x:c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38" customHeight="1">
      <x:c r="A30" s="1"/>
      <x:c r="B30" s="29" t="str">
        <x:v>ИТОГО</x:v>
      </x:c>
      <x:c r="C30" s="7"/>
      <x:c r="D30" s="7"/>
      <x:c r="E30" s="7" t="n">
        <x:f>SUM(E7:E29)</x:f>
        <x:v>30945585</x:v>
      </x:c>
      <x:c r="F30" s="18"/>
      <x:c r="G30" s="18" t="n">
        <x:f>SUM(G7:G29)</x:f>
        <x:v>36.07599999999999</x:v>
      </x:c>
      <x:c r="H30" s="28"/>
      <x:c r="I30" s="28"/>
      <x:c r="J30" s="28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RR-FEC-3000 | Персонал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Должность</x:v>
      </x:c>
      <x:c r="C6" s="24" t="str">
        <x:v>FTE, ставок</x:v>
      </x:c>
      <x:c r="D6" s="24" t="str">
        <x:v>Оклад gross, ₽</x:v>
      </x:c>
      <x:c r="E6" s="24" t="str">
        <x:v>ФОТ gross, ₽</x:v>
      </x:c>
      <x:c r="F6" s="24" t="str">
        <x:v>Постов одновременно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Администратор / касса</x:v>
      </x:c>
      <x:c r="C7" s="17" t="n">
        <x:f>F7*ROUND('Допущения'!$B$22,2)</x:f>
        <x:v>7.08</x:v>
      </x:c>
      <x:c r="D7" s="10" t="n">
        <x:v>45000</x:v>
      </x:c>
      <x:c r="E7" s="7" t="n">
        <x:f>C7*D7</x:f>
        <x:v>318600</x:v>
      </x:c>
      <x:c r="F7" s="7" t="n">
        <x:v>3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Оператор игровых зон</x:v>
      </x:c>
      <x:c r="C8" s="17" t="n">
        <x:f>F8*ROUND('Допущения'!$B$22,2)</x:f>
        <x:v>23.599999999999998</x:v>
      </x:c>
      <x:c r="D8" s="10" t="n">
        <x:v>45000</x:v>
      </x:c>
      <x:c r="E8" s="7" t="n">
        <x:f>C8*D8</x:f>
        <x:v>1062000</x:v>
      </x:c>
      <x:c r="F8" s="7" t="n">
        <x:v>10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Бариста / работник кафе</x:v>
      </x:c>
      <x:c r="C9" s="17" t="n">
        <x:f>F9*ROUND('Допущения'!$B$22,2)</x:f>
        <x:v>9.44</x:v>
      </x:c>
      <x:c r="D9" s="10" t="n">
        <x:v>45000</x:v>
      </x:c>
      <x:c r="E9" s="7" t="n">
        <x:f>C9*D9</x:f>
        <x:v>424800</x:v>
      </x:c>
      <x:c r="F9" s="7" t="n">
        <x:v>4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Повар</x:v>
      </x:c>
      <x:c r="C10" s="17" t="n">
        <x:f>F10*ROUND('Допущения'!$B$22,2)</x:f>
        <x:v>7.08</x:v>
      </x:c>
      <x:c r="D10" s="10" t="n">
        <x:v>55000</x:v>
      </x:c>
      <x:c r="E10" s="7" t="n">
        <x:f>C10*D10</x:f>
        <x:v>389400</x:v>
      </x:c>
      <x:c r="F10" s="7" t="n">
        <x:v>3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Управляющий / старший смены</x:v>
      </x:c>
      <x:c r="C11" s="15" t="n">
        <x:v>2.5</x:v>
      </x:c>
      <x:c r="D11" s="10" t="n">
        <x:v>85000</x:v>
      </x:c>
      <x:c r="E11" s="7" t="n">
        <x:f>C11*D11</x:f>
        <x:v>212500</x:v>
      </x:c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Уборщик</x:v>
      </x:c>
      <x:c r="C12" s="15" t="n">
        <x:v>4</x:v>
      </x:c>
      <x:c r="D12" s="10" t="n">
        <x:v>38000</x:v>
      </x:c>
      <x:c r="E12" s="7" t="n">
        <x:f>C12*D12</x:f>
        <x:v>152000</x:v>
      </x:c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Техник</x:v>
      </x:c>
      <x:c r="C13" s="15" t="n">
        <x:v>2</x:v>
      </x:c>
      <x:c r="D13" s="10" t="n">
        <x:v>70000</x:v>
      </x:c>
      <x:c r="E13" s="7" t="n">
        <x:f>C13*D13</x:f>
        <x:v>140000</x:v>
      </x:c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n">
        <x:v>8</x:v>
      </x:c>
      <x:c r="B14" s="7" t="str">
        <x:v>Аниматор / ведущий</x:v>
      </x:c>
      <x:c r="C14" s="15" t="n">
        <x:v>3</x:v>
      </x:c>
      <x:c r="D14" s="10" t="n">
        <x:v>50000</x:v>
      </x:c>
      <x:c r="E14" s="7" t="n">
        <x:f>C14*D14</x:f>
        <x:v>150000</x:v>
      </x:c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n">
        <x:v>9</x:v>
      </x:c>
      <x:c r="B15" s="7" t="str">
        <x:v>Маркетолог, частичная занятость</x:v>
      </x:c>
      <x:c r="C15" s="15" t="n">
        <x:v>0.5</x:v>
      </x:c>
      <x:c r="D15" s="10" t="n">
        <x:v>60000</x:v>
      </x:c>
      <x:c r="E15" s="7" t="n">
        <x:f>C15*D15</x:f>
        <x:v>30000</x:v>
      </x:c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ИТОГО ставок / ФОТ</x:v>
      </x:c>
      <x:c r="C16" s="16" t="n">
        <x:f>SUM(C7:C15)</x:f>
        <x:v>59.199999999999996</x:v>
      </x:c>
      <x:c r="D16" s="7"/>
      <x:c r="E16" s="7" t="n">
        <x:f>SUM(E7:E15)</x:f>
        <x:v>2879300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С резервом взносов</x:v>
      </x:c>
      <x:c r="C17" s="7"/>
      <x:c r="D17" s="7"/>
      <x:c r="E17" s="9" t="n">
        <x:f>E16*(1+'Допущения'!B15)</x:f>
        <x:v>3748848.6</x:v>
      </x:c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План покрытия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FTE — оплачиваемая доля полной ставки, не число людей в одной смене.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Смены 10:00–21:00 плюс открытие/закрытие. В штатном расписании нужны совместители и подмена.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Ночной ремонт, отпуск, больничный и перерывы не перекладываются на дежурного у детей.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Для 100 м²: кассир совмещает кафе доготовки, ведущий праздника приглашается дополнительно.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RR-FEC-3000 | Электрика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Группа</x:v>
      </x:c>
      <x:c r="C6" s="24" t="str">
        <x:v>Установлено кВт</x:v>
      </x:c>
      <x:c r="D6" s="24" t="str">
        <x:v>Коэф. спроса</x:v>
      </x:c>
      <x:c r="E6" s="24" t="str">
        <x:v>Расчет кВт</x:v>
      </x:c>
      <x:c r="F6" s="24" t="str">
        <x:v>Статус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Оборудование RR</x:v>
      </x:c>
      <x:c r="C7" s="17" t="n">
        <x:f>'Оборудование'!G30</x:f>
        <x:v>36.07599999999999</x:v>
      </x:c>
      <x:c r="D7" s="16" t="n">
        <x:v>0.85</x:v>
      </x:c>
      <x:c r="E7" s="16" t="n">
        <x:f>C7*D7</x:f>
        <x:v>30.664599999999993</x:v>
      </x:c>
      <x:c r="F7" s="7" t="str">
        <x:v>Часть значений — проектные резервы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Освещение, 8 Вт/м²</x:v>
      </x:c>
      <x:c r="C8" s="16" t="n">
        <x:v>24</x:v>
      </x:c>
      <x:c r="D8" s="16" t="n">
        <x:v>0.95</x:v>
      </x:c>
      <x:c r="E8" s="16" t="n">
        <x:f>C8*D8</x:f>
        <x:v>22.799999999999997</x:v>
      </x:c>
      <x:c r="F8" s="7" t="str">
        <x:v>Расчетный резерв, не ТУ помещения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Вентиляция и охлаждение: резерв 25 Вт/м²</x:v>
      </x:c>
      <x:c r="C9" s="16" t="n">
        <x:v>75</x:v>
      </x:c>
      <x:c r="D9" s="16" t="n">
        <x:v>0.8</x:v>
      </x:c>
      <x:c r="E9" s="16" t="n">
        <x:f>C9*D9</x:f>
        <x:v>60</x:v>
      </x:c>
      <x:c r="F9" s="7" t="str">
        <x:v>Расчетный резерв, не ТУ помещения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Кухня: резерв</x:v>
      </x:c>
      <x:c r="C10" s="16" t="n">
        <x:v>100</x:v>
      </x:c>
      <x:c r="D10" s="16" t="n">
        <x:v>0.65</x:v>
      </x:c>
      <x:c r="E10" s="16" t="n">
        <x:f>C10*D10</x:f>
        <x:v>65</x:v>
      </x:c>
      <x:c r="F10" s="7" t="str">
        <x:v>Расчетный резерв, не ТУ помещения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Рабочие розетки родителей</x:v>
      </x:c>
      <x:c r="C11" s="16" t="n">
        <x:v>9.600000000000001</x:v>
      </x:c>
      <x:c r="D11" s="16" t="n">
        <x:v>0.5</x:v>
      </x:c>
      <x:c r="E11" s="16" t="n">
        <x:f>C11*D11</x:f>
        <x:v>4.800000000000001</x:v>
      </x:c>
      <x:c r="F11" s="7" t="str">
        <x:v>Расчетный резерв, не ТУ помещения</x:v>
      </x:c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Касса, сеть, хозяйственные розетки</x:v>
      </x:c>
      <x:c r="C12" s="16" t="n">
        <x:v>5</x:v>
      </x:c>
      <x:c r="D12" s="16" t="n">
        <x:v>0.6</x:v>
      </x:c>
      <x:c r="E12" s="16" t="n">
        <x:f>C12*D12</x:f>
        <x:v>3</x:v>
      </x:c>
      <x:c r="F12" s="7" t="str">
        <x:v>Расчетный резерв, не ТУ помещения</x:v>
      </x:c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Сцена и звук, резерв</x:v>
      </x:c>
      <x:c r="C13" s="16" t="n">
        <x:v>3</x:v>
      </x:c>
      <x:c r="D13" s="16" t="n">
        <x:v>0.5</x:v>
      </x:c>
      <x:c r="E13" s="16" t="n">
        <x:f>C13*D13</x:f>
        <x:v>1.5</x:v>
      </x:c>
      <x:c r="F13" s="7" t="str">
        <x:v>Расчетный резерв, не ТУ помещения</x:v>
      </x:c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/>
      <x:c r="C14" s="16"/>
      <x:c r="D14" s="16"/>
      <x:c r="E14" s="16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Суммарная установленная</x:v>
      </x:c>
      <x:c r="C15" s="16" t="n">
        <x:f>SUM(C7:C13)</x:f>
        <x:v>252.676</x:v>
      </x:c>
      <x:c r="D15" s="16"/>
      <x:c r="E15" s="16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Расчетная рабочая</x:v>
      </x:c>
      <x:c r="C16" s="16"/>
      <x:c r="D16" s="16"/>
      <x:c r="E16" s="16" t="n">
        <x:f>SUM(E7:E13)</x:f>
        <x:v>187.7646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Резерв на развитие</x:v>
      </x:c>
      <x:c r="C17" s="31" t="n">
        <x:v>0.25</x:v>
      </x:c>
      <x:c r="D17" s="16"/>
      <x:c r="E17" s="16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Запрос мощности, ориентир</x:v>
      </x:c>
      <x:c r="C18" s="16"/>
      <x:c r="D18" s="16"/>
      <x:c r="E18" s="16" t="n">
        <x:f>E16*(1+C17)</x:f>
        <x:v>234.70575</x:v>
      </x:c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Ток 3 фазы, 400 В, cosφ 0,95</x:v>
      </x:c>
      <x:c r="C19" s="16"/>
      <x:c r="D19" s="16"/>
      <x:c r="E19" s="16" t="n">
        <x:f>E18*1000/(1.732*400*0.95)</x:f>
        <x:v>356.6089552692355</x:v>
      </x:c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Эквивалент работы, ч/день</x:v>
      </x:c>
      <x:c r="C20" s="16" t="n">
        <x:v>8</x:v>
      </x:c>
      <x:c r="D20" s="16"/>
      <x:c r="E20" s="16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Электроэнергия, кВт·ч/мес</x:v>
      </x:c>
      <x:c r="C21" s="16"/>
      <x:c r="D21" s="16"/>
      <x:c r="E21" s="17" t="n">
        <x:f>E16*C20*'Допущения'!B18</x:f>
        <x:v>45063.504</x:v>
      </x:c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 t="str">
        <x:v>Электроэнергия, ₽/мес</x:v>
      </x:c>
      <x:c r="C22" s="16"/>
      <x:c r="D22" s="16"/>
      <x:c r="E22" s="17" t="n">
        <x:f>E21*'Допущения'!B24</x:f>
        <x:v>405571.536</x:v>
      </x:c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Не использовать для монтажа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Сечения, автоматы, УЗО, селективность и падение напряжения определяются после обмеров и паспортов.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Energy Jump: противоречие напряжения. Триколор: 60/600 Вт. Не подключать по этой таблице.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Отопление, существующие общие инженерные системы и категория надежности требуют ТУ арендодателя.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5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RR-FEC-3000 | Инвестиции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Статья</x:v>
      </x:c>
      <x:c r="C6" s="24" t="str">
        <x:v>Сумма, ₽</x:v>
      </x:c>
      <x:c r="D6" s="24" t="str">
        <x:v>Основание</x:v>
      </x:c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n">
        <x:v>1</x:v>
      </x:c>
      <x:c r="B7" s="28" t="str">
        <x:v>Оборудование RR</x:v>
      </x:c>
      <x:c r="C7" s="30" t="n">
        <x:f>'Оборудование'!E30</x:f>
        <x:v>30945585</x:v>
      </x:c>
      <x:c r="D7" s="28" t="str">
        <x:v>Каталог 24.10.2026</x:v>
      </x:c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n">
        <x:v>2</x:v>
      </x:c>
      <x:c r="B8" s="28" t="str">
        <x:v>Доставка и монтаж RR, резерв</x:v>
      </x:c>
      <x:c r="C8" s="28" t="n">
        <x:f>C7*0.08</x:f>
        <x:v>2475646.8000000003</x:v>
      </x:c>
      <x:c r="D8" s="28" t="str">
        <x:v>8% оборудования, требуется смета</x:v>
      </x:c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n">
        <x:v>3</x:v>
      </x:c>
      <x:c r="B9" s="28" t="str">
        <x:v>Отделка и общестрой без инженерии</x:v>
      </x:c>
      <x:c r="C9" s="28" t="n">
        <x:v>43500000</x:v>
      </x:c>
      <x:c r="D9" s="28" t="str">
        <x:v>14500 ₽/м² — гипотеза</x:v>
      </x:c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n">
        <x:v>4</x:v>
      </x:c>
      <x:c r="B10" s="28" t="str">
        <x:v>Кафе, кухня, мебель и посадка</x:v>
      </x:c>
      <x:c r="C10" s="28" t="n">
        <x:v>9000000</x:v>
      </x:c>
      <x:c r="D10" s="28" t="str">
        <x:v>Внешние поставщики, бюджетный резерв</x:v>
      </x:c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n">
        <x:v>5</x:v>
      </x:c>
      <x:c r="B11" s="28" t="str">
        <x:v>Сцена, звук, банкетные комнаты и декор</x:v>
      </x:c>
      <x:c r="C11" s="28" t="n">
        <x:v>2100000</x:v>
      </x:c>
      <x:c r="D11" s="28" t="str">
        <x:v>Внешние поставщики, бюджетный резерв</x:v>
      </x:c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n">
        <x:v>6</x:v>
      </x:c>
      <x:c r="B12" s="28" t="str">
        <x:v>Касса, учет доступа, СКУД, CCTV, сеть</x:v>
      </x:c>
      <x:c r="C12" s="28" t="n">
        <x:v>1200000</x:v>
      </x:c>
      <x:c r="D12" s="28" t="str">
        <x:v>Внешние поставщики, бюджетный резерв</x:v>
      </x:c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n">
        <x:v>7</x:v>
      </x:c>
      <x:c r="B13" s="28" t="str">
        <x:v>Электрика, вентиляция, пожарные системы: резерв</x:v>
      </x:c>
      <x:c r="C13" s="28" t="n">
        <x:v>18000000</x:v>
      </x:c>
      <x:c r="D13" s="28" t="str">
        <x:v>Внешние поставщики, бюджетный резерв</x:v>
      </x:c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n">
        <x:v>8</x:v>
      </x:c>
      <x:c r="B14" s="28" t="str">
        <x:v>Обследование, адаптация проекта, согласования: резерв</x:v>
      </x:c>
      <x:c r="C14" s="28" t="n">
        <x:v>3000000</x:v>
      </x:c>
      <x:c r="D14" s="28" t="str">
        <x:v>Внешние поставщики, бюджетный резерв</x:v>
      </x:c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Основные вложения</x:v>
      </x:c>
      <x:c r="C15" s="7" t="n">
        <x:f>SUM(C7:C14)</x:f>
        <x:v>110221231.8</x:v>
      </x:c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Непредвиденные, 10%</x:v>
      </x:c>
      <x:c r="C16" s="7" t="n">
        <x:f>C15*0.10</x:f>
        <x:v>11022123.18</x:v>
      </x:c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Депозит аренды: два месяца</x:v>
      </x:c>
      <x:c r="C17" s="7" t="n">
        <x:v>3000000</x:v>
      </x:c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Реклама запуска</x:v>
      </x:c>
      <x:c r="C18" s="7" t="n">
        <x:v>1200000</x:v>
      </x:c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Оборотный резерв: 3 месяца fixed</x:v>
      </x:c>
      <x:c r="C19" s="7" t="n">
        <x:f>C35*3</x:f>
        <x:v>19349034.27675</x:v>
      </x:c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ВСЕГО стартовый бюджет</x:v>
      </x:c>
      <x:c r="C20" s="7" t="n">
        <x:f>SUM(C15:C19)</x:f>
        <x:v>144792389.25675</x:v>
      </x:c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№</x:v>
      </x:c>
      <x:c r="B24" s="7" t="str">
        <x:v>Постоянные расходы / месяц</x:v>
      </x:c>
      <x:c r="C24" s="7" t="str">
        <x:v>Сумма, ₽</x:v>
      </x:c>
      <x:c r="D24" s="7" t="str">
        <x:v>Основание</x:v>
      </x:c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ФОТ с резервом взносов</x:v>
      </x:c>
      <x:c r="C25" s="9" t="n">
        <x:f>'Персонал'!E17</x:f>
        <x:v>3748848.6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n">
        <x:v>2</x:v>
      </x:c>
      <x:c r="B26" s="1" t="str">
        <x:v>Аренда</x:v>
      </x:c>
      <x:c r="C26" s="7" t="n">
        <x:v>1500000</x:v>
      </x:c>
      <x:c r="D26" s="7" t="str">
        <x:v>Бюджетное допущение</x:v>
      </x:c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n">
        <x:v>3</x:v>
      </x:c>
      <x:c r="B27" s="1" t="str">
        <x:v>Коммунальные: электричество (9 ₽/кВт·ч)</x:v>
      </x:c>
      <x:c r="C27" s="9" t="n">
        <x:f>'Электрика'!E22</x:f>
        <x:v>405571.536</x:v>
      </x:c>
      <x:c r="D27" s="7" t="str">
        <x:v>Бюджетное допущение</x:v>
      </x:c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n">
        <x:v>4</x:v>
      </x:c>
      <x:c r="B28" s="1" t="str">
        <x:v>Вода, отопление и общие услуги</x:v>
      </x:c>
      <x:c r="C28" s="7" t="n">
        <x:v>180000</x:v>
      </x:c>
      <x:c r="D28" s="7" t="str">
        <x:v>Бюджетное допущение</x:v>
      </x:c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n">
        <x:v>5</x:v>
      </x:c>
      <x:c r="B29" s="1" t="str">
        <x:v>Текущая реклама, включая события</x:v>
      </x:c>
      <x:c r="C29" s="7" t="n">
        <x:v>350000</x:v>
      </x:c>
      <x:c r="D29" s="7" t="str">
        <x:v>Бюджетное допущение</x:v>
      </x:c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n">
        <x:v>6</x:v>
      </x:c>
      <x:c r="B30" s="1" t="str">
        <x:v>Расходы связи, кассы, ПО, бухгалтерии</x:v>
      </x:c>
      <x:c r="C30" s="7" t="n">
        <x:v>70000</x:v>
      </x:c>
      <x:c r="D30" s="7" t="str">
        <x:v>Бюджетное допущение</x:v>
      </x:c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7</x:v>
      </x:c>
      <x:c r="B31" s="1" t="str">
        <x:v>Плановый сервис и расходники</x:v>
      </x:c>
      <x:c r="C31" s="7" t="n">
        <x:f>C7*0.035/12</x:f>
        <x:v>90257.95625</x:v>
      </x:c>
      <x:c r="D31" s="7" t="str">
        <x:v>Бюджетное допущение</x:v>
      </x:c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8</x:v>
      </x:c>
      <x:c r="B32" s="1" t="str">
        <x:v>Страхование и охрана: резерв</x:v>
      </x:c>
      <x:c r="C32" s="7" t="n">
        <x:v>105000</x:v>
      </x:c>
      <x:c r="D32" s="7" t="str">
        <x:v>Бюджетное допущение</x:v>
      </x:c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ИТОГО постоянных</x:v>
      </x:c>
      <x:c r="C35" s="7" t="n">
        <x:f>SUM(C25:C32)</x:f>
        <x:v>6449678.09225</x:v>
      </x:c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Внешнее оснащение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Порекомендуем надежных поставщиков подобного оборудования клиентам, которые открывают центр вместе с нами.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 t="str">
        <x:v>В стартовом бюджете есть оборотный резерв и возвратный депозит: они не являются продажей оборудования RR.</x:v>
      </x:c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Кредит, покупка недвижимости и централизованное отопление сверх резерва не включены.</x:v>
      </x:c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RR-FEC-3000 | Зоны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Зона</x:v>
      </x:c>
      <x:c r="C6" s="24" t="str">
        <x:v>Объем</x:v>
      </x:c>
      <x:c r="D6" s="24" t="str">
        <x:v>Цена</x:v>
      </x:c>
      <x:c r="E6" s="24" t="str">
        <x:v>Платежи ₽</x:v>
      </x:c>
      <x:c r="F6" s="24" t="str">
        <x:v>Без НДС ₽</x:v>
      </x:c>
      <x:c r="G6" s="24" t="str">
        <x:v>Прямые ₽</x:v>
      </x:c>
      <x:c r="H6" s="24" t="str">
        <x:v>Эквайринг ₽</x:v>
      </x:c>
      <x:c r="I6" s="24" t="str">
        <x:v>Маржа ₽</x:v>
      </x:c>
      <x:c r="J6" s="24" t="str">
        <x:v>Общие fixed ₽</x:v>
      </x:c>
      <x:c r="K6" s="24" t="str">
        <x:v>Налог ₽</x:v>
      </x:c>
      <x:c r="L6" s="24" t="str">
        <x:v>Обновление ₽</x:v>
      </x:c>
      <x:c r="M6" s="24" t="str">
        <x:v>Поток ₽</x:v>
      </x:c>
      <x:c r="N6" s="24" t="str">
        <x:v>Доля выручки</x:v>
      </x:c>
      <x:c r="O6" s="24" t="str">
        <x:v>Вложения ₽</x:v>
      </x:c>
      <x:c r="P6" s="24" t="str">
        <x:v>Простая окуп. мес</x:v>
      </x:c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9" t="str">
        <x:f>'Допущения'!B31</x:f>
        <x:v>Входные билеты и свободная игра</x:v>
      </x:c>
      <x:c r="C7" s="9" t="n">
        <x:f>'Допущения'!C31*'Допущения'!$B$8</x:f>
        <x:v>13096</x:v>
      </x:c>
      <x:c r="D7" s="9" t="n">
        <x:f>'Допущения'!D31</x:f>
        <x:v>900</x:v>
      </x:c>
      <x:c r="E7" s="7" t="n">
        <x:f>C7*D7</x:f>
        <x:v>11786400</x:v>
      </x:c>
      <x:c r="F7" s="9" t="n">
        <x:f>E7/(1+'Допущения'!$B$9)</x:f>
        <x:v>11015327.102803737</x:v>
      </x:c>
      <x:c r="G7" s="9" t="n">
        <x:f>F7*'Допущения'!E31+C7*'Допущения'!F31</x:f>
        <x:v>220306.54205607474</x:v>
      </x:c>
      <x:c r="H7" s="9" t="n">
        <x:f>E7*'Допущения'!$B$11</x:f>
        <x:v>235728</x:v>
      </x:c>
      <x:c r="I7" s="7" t="n">
        <x:f>F7-G7-H7</x:f>
        <x:v>10559292.560747663</x:v>
      </x:c>
      <x:c r="J7" s="9" t="n">
        <x:f>'Инвестиции'!$C$35*'Допущения'!G31/SUM('Допущения'!$G$31:$G$37)</x:f>
        <x:v>2257387.3322874997</x:v>
      </x:c>
      <x:c r="K7" s="9" t="n">
        <x:f>F7*'Допущения'!$B$10</x:f>
        <x:v>660919.6261682241</x:v>
      </x:c>
      <x:c r="L7" s="9" t="n">
        <x:f>F7*'Допущения'!$B$12</x:f>
        <x:v>220306.54205607474</x:v>
      </x:c>
      <x:c r="M7" s="7" t="n">
        <x:f>I7-J7-K7-L7</x:f>
        <x:v>7420679.0602358645</x:v>
      </x:c>
      <x:c r="N7" s="20" t="n">
        <x:f>E7/SUM($E$7:$E$13)</x:f>
        <x:v>0.4583068109484405</x:v>
      </x:c>
      <x:c r="O7" s="9" t="n">
        <x:f>'Инвестиции'!$C$20*'Допущения'!G31/SUM('Допущения'!$G$31:$G$37)</x:f>
        <x:v>50677336.239862494</x:v>
      </x:c>
      <x:c r="P7" s="21" t="n">
        <x:f>IF(M7&gt;0,O7/M7,"нет")</x:f>
        <x:v>6.829204689826827</x:v>
      </x:c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9" t="str">
        <x:f>'Допущения'!B32</x:f>
        <x:v>Технологические аттракционы</x:v>
      </x:c>
      <x:c r="C8" s="9" t="n">
        <x:f>'Допущения'!C32*'Допущения'!$B$8</x:f>
        <x:v>8185</x:v>
      </x:c>
      <x:c r="D8" s="9" t="n">
        <x:f>'Допущения'!D32</x:f>
        <x:v>250</x:v>
      </x:c>
      <x:c r="E8" s="7" t="n">
        <x:f>C8*D8</x:f>
        <x:v>2046250</x:v>
      </x:c>
      <x:c r="F8" s="9" t="n">
        <x:f>E8/(1+'Допущения'!$B$9)</x:f>
        <x:v>1912383.1775700934</x:v>
      </x:c>
      <x:c r="G8" s="9" t="n">
        <x:f>F8*'Допущения'!E32+C8*'Допущения'!F32</x:f>
        <x:v>95619.15887850468</x:v>
      </x:c>
      <x:c r="H8" s="9" t="n">
        <x:f>E8*'Допущения'!$B$11</x:f>
        <x:v>40925</x:v>
      </x:c>
      <x:c r="I8" s="7" t="n">
        <x:f>F8-G8-H8</x:f>
        <x:v>1775839.0186915887</x:v>
      </x:c>
      <x:c r="J8" s="9" t="n">
        <x:f>'Инвестиции'!$C$35*'Допущения'!G32/SUM('Допущения'!$G$31:$G$37)</x:f>
        <x:v>967451.7138375</x:v>
      </x:c>
      <x:c r="K8" s="9" t="n">
        <x:f>F8*'Допущения'!$B$10</x:f>
        <x:v>114742.9906542056</x:v>
      </x:c>
      <x:c r="L8" s="9" t="n">
        <x:f>F8*'Допущения'!$B$12</x:f>
        <x:v>38247.66355140187</x:v>
      </x:c>
      <x:c r="M8" s="7" t="n">
        <x:f>I8-J8-K8-L8</x:f>
        <x:v>655396.6506484812</x:v>
      </x:c>
      <x:c r="N8" s="20" t="n">
        <x:f>E8/SUM($E$7:$E$13)</x:f>
        <x:v>0.07956715467854869</x:v>
      </x:c>
      <x:c r="O8" s="9" t="n">
        <x:f>'Инвестиции'!$C$20*'Допущения'!G32/SUM('Допущения'!$G$31:$G$37)</x:f>
        <x:v>21718858.388512496</x:v>
      </x:c>
      <x:c r="P8" s="21" t="n">
        <x:f>IF(M8&gt;0,O8/M8,"нет")</x:f>
        <x:v>33.13849463072905</x:v>
      </x:c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9" t="str">
        <x:f>'Допущения'!B33</x:f>
        <x:v>Аркады и семейные игры</x:v>
      </x:c>
      <x:c r="C9" s="9" t="n">
        <x:f>'Допущения'!C33*'Допущения'!$B$8</x:f>
        <x:v>14733</x:v>
      </x:c>
      <x:c r="D9" s="9" t="n">
        <x:f>'Допущения'!D33</x:f>
        <x:v>170</x:v>
      </x:c>
      <x:c r="E9" s="7" t="n">
        <x:f>C9*D9</x:f>
        <x:v>2504610</x:v>
      </x:c>
      <x:c r="F9" s="9" t="n">
        <x:f>E9/(1+'Допущения'!$B$9)</x:f>
        <x:v>2340757.009345794</x:v>
      </x:c>
      <x:c r="G9" s="9" t="n">
        <x:f>F9*'Допущения'!E33+C9*'Допущения'!F33</x:f>
        <x:v>468151.40186915884</x:v>
      </x:c>
      <x:c r="H9" s="9" t="n">
        <x:f>E9*'Допущения'!$B$11</x:f>
        <x:v>50092.200000000004</x:v>
      </x:c>
      <x:c r="I9" s="7" t="n">
        <x:f>F9-G9-H9</x:f>
        <x:v>1822513.4074766354</x:v>
      </x:c>
      <x:c r="J9" s="9" t="n">
        <x:f>'Инвестиции'!$C$35*'Допущения'!G33/SUM('Допущения'!$G$31:$G$37)</x:f>
        <x:v>773961.37107</x:v>
      </x:c>
      <x:c r="K9" s="9" t="n">
        <x:f>F9*'Допущения'!$B$10</x:f>
        <x:v>140445.42056074765</x:v>
      </x:c>
      <x:c r="L9" s="9" t="n">
        <x:f>F9*'Допущения'!$B$12</x:f>
        <x:v>46815.14018691588</x:v>
      </x:c>
      <x:c r="M9" s="7" t="n">
        <x:f>I9-J9-K9-L9</x:f>
        <x:v>861291.4756589719</x:v>
      </x:c>
      <x:c r="N9" s="20" t="n">
        <x:f>E9/SUM($E$7:$E$13)</x:f>
        <x:v>0.09739019732654361</x:v>
      </x:c>
      <x:c r="O9" s="9" t="n">
        <x:f>'Инвестиции'!$C$20*'Допущения'!G33/SUM('Допущения'!$G$31:$G$37)</x:f>
        <x:v>17375086.71081</x:v>
      </x:c>
      <x:c r="P9" s="21" t="n">
        <x:f>IF(M9&gt;0,O9/M9,"нет")</x:f>
        <x:v>20.173294641650045</x:v>
      </x:c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9" t="str">
        <x:f>'Допущения'!B34</x:f>
        <x:v>Банкетные комнаты и ведущий</x:v>
      </x:c>
      <x:c r="C10" s="9" t="n">
        <x:f>'Допущения'!C34*'Допущения'!$B$8</x:f>
        <x:v>130.96</x:v>
      </x:c>
      <x:c r="D10" s="9" t="n">
        <x:f>'Допущения'!D34</x:f>
        <x:v>25000</x:v>
      </x:c>
      <x:c r="E10" s="7" t="n">
        <x:f>C10*D10</x:f>
        <x:v>3274000</x:v>
      </x:c>
      <x:c r="F10" s="9" t="n">
        <x:f>E10/(1+'Допущения'!$B$9)</x:f>
        <x:v>3059813.084112149</x:v>
      </x:c>
      <x:c r="G10" s="9" t="n">
        <x:f>F10*'Допущения'!E34+C10*'Допущения'!F34</x:f>
        <x:v>764953.2710280373</x:v>
      </x:c>
      <x:c r="H10" s="9" t="n">
        <x:f>E10*'Допущения'!$B$11</x:f>
        <x:v>65480</x:v>
      </x:c>
      <x:c r="I10" s="7" t="n">
        <x:f>F10-G10-H10</x:f>
        <x:v>2229379.813084112</x:v>
      </x:c>
      <x:c r="J10" s="9" t="n">
        <x:f>'Инвестиции'!$C$35*'Допущения'!G34/SUM('Допущения'!$G$31:$G$37)</x:f>
        <x:v>773961.37107</x:v>
      </x:c>
      <x:c r="K10" s="9" t="n">
        <x:f>F10*'Допущения'!$B$10</x:f>
        <x:v>183588.78504672894</x:v>
      </x:c>
      <x:c r="L10" s="9" t="n">
        <x:f>F10*'Допущения'!$B$12</x:f>
        <x:v>61196.261682242985</x:v>
      </x:c>
      <x:c r="M10" s="7" t="n">
        <x:f>I10-J10-K10-L10</x:f>
        <x:v>1210633.39528514</x:v>
      </x:c>
      <x:c r="N10" s="20" t="n">
        <x:f>E10/SUM($E$7:$E$13)</x:f>
        <x:v>0.1273074474856779</x:v>
      </x:c>
      <x:c r="O10" s="9" t="n">
        <x:f>'Инвестиции'!$C$20*'Допущения'!G34/SUM('Допущения'!$G$31:$G$37)</x:f>
        <x:v>17375086.71081</x:v>
      </x:c>
      <x:c r="P10" s="21" t="n">
        <x:f>IF(M10&gt;0,O10/M10,"нет")</x:f>
        <x:v>14.35206296016446</x:v>
      </x:c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9" t="str">
        <x:f>'Допущения'!B35</x:f>
        <x:v>Кафе и ожидание родителей</x:v>
      </x:c>
      <x:c r="C11" s="9" t="n">
        <x:f>'Допущения'!C35*'Допущения'!$B$8</x:f>
        <x:v>7857.6</x:v>
      </x:c>
      <x:c r="D11" s="9" t="n">
        <x:f>'Допущения'!D35</x:f>
        <x:v>650</x:v>
      </x:c>
      <x:c r="E11" s="7" t="n">
        <x:f>C11*D11</x:f>
        <x:v>5107440</x:v>
      </x:c>
      <x:c r="F11" s="9" t="n">
        <x:f>E11/(1+'Допущения'!$B$9)</x:f>
        <x:v>4773308.411214953</x:v>
      </x:c>
      <x:c r="G11" s="9" t="n">
        <x:f>F11*'Допущения'!E35+C11*'Допущения'!F35</x:f>
        <x:v>1670657.9439252336</x:v>
      </x:c>
      <x:c r="H11" s="9" t="n">
        <x:f>E11*'Допущения'!$B$11</x:f>
        <x:v>102148.8</x:v>
      </x:c>
      <x:c r="I11" s="7" t="n">
        <x:f>F11-G11-H11</x:f>
        <x:v>3000501.66728972</x:v>
      </x:c>
      <x:c r="J11" s="9" t="n">
        <x:f>'Инвестиции'!$C$35*'Допущения'!G35/SUM('Допущения'!$G$31:$G$37)</x:f>
        <x:v>902954.932915</x:v>
      </x:c>
      <x:c r="K11" s="9" t="n">
        <x:f>F11*'Допущения'!$B$10</x:f>
        <x:v>286398.50467289716</x:v>
      </x:c>
      <x:c r="L11" s="9" t="n">
        <x:f>F11*'Допущения'!$B$12</x:f>
        <x:v>95466.16822429906</x:v>
      </x:c>
      <x:c r="M11" s="7" t="n">
        <x:f>I11-J11-K11-L11</x:f>
        <x:v>1715682.0614775235</x:v>
      </x:c>
      <x:c r="N11" s="20" t="n">
        <x:f>E11/SUM($E$7:$E$13)</x:f>
        <x:v>0.19859961807765755</x:v>
      </x:c>
      <x:c r="O11" s="9" t="n">
        <x:f>'Инвестиции'!$C$20*'Допущения'!G35/SUM('Допущения'!$G$31:$G$37)</x:f>
        <x:v>20270934.495945</x:v>
      </x:c>
      <x:c r="P11" s="21" t="n">
        <x:f>IF(M11&gt;0,O11/M11,"нет")</x:f>
        <x:v>11.815087976433075</x:v>
      </x:c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9" t="str">
        <x:f>'Допущения'!B36</x:f>
        <x:v>Платные мастер-классы</x:v>
      </x:c>
      <x:c r="C12" s="9" t="n">
        <x:f>'Допущения'!C36*'Допущения'!$B$8</x:f>
        <x:v>982.2</x:v>
      </x:c>
      <x:c r="D12" s="9" t="n">
        <x:f>'Допущения'!D36</x:f>
        <x:v>600</x:v>
      </x:c>
      <x:c r="E12" s="7" t="n">
        <x:f>C12*D12</x:f>
        <x:v>589320</x:v>
      </x:c>
      <x:c r="F12" s="9" t="n">
        <x:f>E12/(1+'Допущения'!$B$9)</x:f>
        <x:v>550766.3551401868</x:v>
      </x:c>
      <x:c r="G12" s="9" t="n">
        <x:f>F12*'Допущения'!E36+C12*'Допущения'!F36</x:f>
        <x:v>165229.90654205604</x:v>
      </x:c>
      <x:c r="H12" s="9" t="n">
        <x:f>E12*'Допущения'!$B$11</x:f>
        <x:v>11786.4</x:v>
      </x:c>
      <x:c r="I12" s="7" t="n">
        <x:f>F12-G12-H12</x:f>
        <x:v>373750.0485981308</x:v>
      </x:c>
      <x:c r="J12" s="9" t="n">
        <x:f>'Инвестиции'!$C$35*'Допущения'!G36/SUM('Допущения'!$G$31:$G$37)</x:f>
        <x:v>515974.24738</x:v>
      </x:c>
      <x:c r="K12" s="9" t="n">
        <x:f>F12*'Допущения'!$B$10</x:f>
        <x:v>33045.98130841121</x:v>
      </x:c>
      <x:c r="L12" s="9" t="n">
        <x:f>F12*'Допущения'!$B$12</x:f>
        <x:v>11015.327102803738</x:v>
      </x:c>
      <x:c r="M12" s="7" t="n">
        <x:f>I12-J12-K12-L12</x:f>
        <x:v>-186285.50719308417</x:v>
      </x:c>
      <x:c r="N12" s="20" t="n">
        <x:f>E12/SUM($E$7:$E$13)</x:f>
        <x:v>0.022915340547422024</x:v>
      </x:c>
      <x:c r="O12" s="9" t="n">
        <x:f>'Инвестиции'!$C$20*'Допущения'!G36/SUM('Допущения'!$G$31:$G$37)</x:f>
        <x:v>11583391.14054</x:v>
      </x:c>
      <x:c r="P12" s="21" t="str">
        <x:f>IF(M12&gt;0,O12/M12,"нет")</x:f>
        <x:v>нет</x:v>
      </x:c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9" t="str">
        <x:f>'Допущения'!B37</x:f>
        <x:v>Нейрофото</x:v>
      </x:c>
      <x:c r="C13" s="9" t="n">
        <x:f>'Допущения'!C37*'Допущения'!$B$8</x:f>
        <x:v>1637</x:v>
      </x:c>
      <x:c r="D13" s="9" t="n">
        <x:f>'Допущения'!D37</x:f>
        <x:v>250</x:v>
      </x:c>
      <x:c r="E13" s="7" t="n">
        <x:f>C13*D13</x:f>
        <x:v>409250</x:v>
      </x:c>
      <x:c r="F13" s="9" t="n">
        <x:f>E13/(1+'Допущения'!$B$9)</x:f>
        <x:v>382476.63551401865</x:v>
      </x:c>
      <x:c r="G13" s="9" t="n">
        <x:f>F13*'Допущения'!E37+C13*'Допущения'!F37</x:f>
        <x:v>81850</x:v>
      </x:c>
      <x:c r="H13" s="9" t="n">
        <x:f>E13*'Допущения'!$B$11</x:f>
        <x:v>8185</x:v>
      </x:c>
      <x:c r="I13" s="7" t="n">
        <x:f>F13-G13-H13</x:f>
        <x:v>292441.63551401865</x:v>
      </x:c>
      <x:c r="J13" s="9" t="n">
        <x:f>'Инвестиции'!$C$35*'Допущения'!G37/SUM('Допущения'!$G$31:$G$37)</x:f>
        <x:v>257987.12369</x:v>
      </x:c>
      <x:c r="K13" s="9" t="n">
        <x:f>F13*'Допущения'!$B$10</x:f>
        <x:v>22948.598130841117</x:v>
      </x:c>
      <x:c r="L13" s="9" t="n">
        <x:f>F13*'Допущения'!$B$12</x:f>
        <x:v>7649.532710280373</x:v>
      </x:c>
      <x:c r="M13" s="7" t="n">
        <x:f>I13-J13-K13-L13</x:f>
        <x:v>3856.3809828971516</x:v>
      </x:c>
      <x:c r="N13" s="20" t="n">
        <x:f>E13/SUM($E$7:$E$13)</x:f>
        <x:v>0.015913430935709738</x:v>
      </x:c>
      <x:c r="O13" s="9" t="n">
        <x:f>'Инвестиции'!$C$20*'Допущения'!G37/SUM('Допущения'!$G$31:$G$37)</x:f>
        <x:v>5791695.57027</x:v>
      </x:c>
      <x:c r="P13" s="21" t="n">
        <x:f>IF(M13&gt;0,O13/M13,"нет")</x:f>
        <x:v>1501.8473527267838</x:v>
      </x:c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</x:v>
      </x:c>
      <x:c r="C14" s="7"/>
      <x:c r="D14" s="7"/>
      <x:c r="E14" s="7" t="n">
        <x:f>SUM(E7:E13)</x:f>
        <x:v>25717270</x:v>
      </x:c>
      <x:c r="F14" s="7" t="n">
        <x:f>SUM(F7:F13)</x:f>
        <x:v>24034831.77570093</x:v>
      </x:c>
      <x:c r="G14" s="7" t="n">
        <x:f>SUM(G7:G13)</x:f>
        <x:v>3466768.2242990653</x:v>
      </x:c>
      <x:c r="H14" s="7" t="n">
        <x:f>SUM(H7:H13)</x:f>
        <x:v>514345.4</x:v>
      </x:c>
      <x:c r="I14" s="7" t="n">
        <x:f>SUM(I7:I13)</x:f>
        <x:v>20053718.151401866</x:v>
      </x:c>
      <x:c r="J14" s="7" t="n">
        <x:f>SUM(J7:J13)</x:f>
        <x:v>6449678.092249999</x:v>
      </x:c>
      <x:c r="K14" s="7" t="n">
        <x:f>SUM(K7:K13)</x:f>
        <x:v>1442089.9065420558</x:v>
      </x:c>
      <x:c r="L14" s="7" t="n">
        <x:f>SUM(L7:L13)</x:f>
        <x:v>480696.6355140187</x:v>
      </x:c>
      <x:c r="M14" s="7" t="n">
        <x:f>SUM(M7:M13)</x:f>
        <x:v>11681253.517095793</x:v>
      </x:c>
      <x:c r="N14" s="20" t="n">
        <x:f>SUM(N7:N13)</x:f>
        <x:v>1</x:v>
      </x:c>
      <x:c r="O14" s="7" t="n">
        <x:f>SUM(O7:O13)</x:f>
        <x:v>144792389.25675002</x:v>
      </x:c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Управленческое распределение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Общие расходы и стартовый бюджет распределены по редактируемым весам, не по доказанной причинности.</x:v>
      </x:c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Окупаемость зоны — простой показатель стабильного месяца, без разгона. Окупаемость центра — по накопленному потоку.</x:v>
      </x:c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Модель не прибавляет выручку от шахмат: это бесплатное удобство кафе.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RR-FEC-3000 | Поток 48 мес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Мес</x:v>
      </x:c>
      <x:c r="B6" s="25" t="str">
        <x:v>Разгон × сезон</x:v>
      </x:c>
      <x:c r="C6" s="24" t="str">
        <x:v>Билеты</x:v>
      </x:c>
      <x:c r="D6" s="24" t="str">
        <x:v>Техно</x:v>
      </x:c>
      <x:c r="E6" s="24" t="str">
        <x:v>Аркады</x:v>
      </x:c>
      <x:c r="F6" s="24" t="str">
        <x:v>Праздники</x:v>
      </x:c>
      <x:c r="G6" s="24" t="str">
        <x:v>Кафе</x:v>
      </x:c>
      <x:c r="H6" s="24" t="str">
        <x:v>Мастер-классы</x:v>
      </x:c>
      <x:c r="I6" s="24" t="str">
        <x:v>Фото</x:v>
      </x:c>
      <x:c r="J6" s="24" t="str">
        <x:v>Платежи</x:v>
      </x:c>
      <x:c r="K6" s="24" t="str">
        <x:v>Без НДС</x:v>
      </x:c>
      <x:c r="L6" s="24" t="str">
        <x:v>Прямые</x:v>
      </x:c>
      <x:c r="M6" s="24" t="str">
        <x:v>Эквайринг</x:v>
      </x:c>
      <x:c r="N6" s="24" t="str">
        <x:v>Постоянные</x:v>
      </x:c>
      <x:c r="O6" s="24" t="str">
        <x:v>Налог</x:v>
      </x:c>
      <x:c r="P6" s="24" t="str">
        <x:v>Обновление</x:v>
      </x:c>
      <x:c r="Q6" s="24" t="str">
        <x:v>EBITDA</x:v>
      </x:c>
      <x:c r="R6" s="1" t="str">
        <x:v>Поток</x:v>
      </x:c>
      <x:c r="S6" s="1" t="str">
        <x:v>Накопленный</x:v>
      </x:c>
      <x:c r="T6" s="1" t="str">
        <x:v>Окуп. мес</x:v>
      </x:c>
      <x:c r="U6" s="1" t="str">
        <x:v>Дети/час сред.</x:v>
      </x:c>
      <x:c r="V6" s="1"/>
      <x:c r="W6" s="1"/>
    </x:row>
    <x:row r="7" ht="23" customHeight="1">
      <x:c r="A7" s="1" t="n">
        <x:v>1</x:v>
      </x:c>
      <x:c r="B7" s="17" t="n">
        <x:f>'Допущения'!C42*'Допущения'!D42</x:f>
        <x:v>0.5033898305084746</x:v>
      </x:c>
      <x:c r="C7" s="9" t="n">
        <x:f>'Допущения'!C31*'Допущения'!$B$8*'Допущения'!D31*$B7*(1+'Допущения'!$B$13)^0</x:f>
        <x:v>5933153.8983050855</x:v>
      </x:c>
      <x:c r="D7" s="9" t="n">
        <x:f>'Допущения'!C32*'Допущения'!$B$8*'Допущения'!D32*$B7*(1+'Допущения'!$B$13)^0</x:f>
        <x:v>1030061.4406779662</x:v>
      </x:c>
      <x:c r="E7" s="9" t="n">
        <x:f>'Допущения'!C33*'Допущения'!$B$8*'Допущения'!D33*$B7*(1+'Допущения'!$B$13)^0</x:f>
        <x:v>1260795.2033898307</x:v>
      </x:c>
      <x:c r="F7" s="9" t="n">
        <x:f>'Допущения'!C34*'Допущения'!$B$8*'Допущения'!D34*$B7*(1+'Допущения'!$B$13)^0</x:f>
        <x:v>1648098.3050847459</x:v>
      </x:c>
      <x:c r="G7" s="9" t="n">
        <x:f>'Допущения'!C35*'Допущения'!$B$8*'Допущения'!D35*$B7*(1+'Допущения'!$B$13)^0</x:f>
        <x:v>2571033.3559322036</x:v>
      </x:c>
      <x:c r="H7" s="9" t="n">
        <x:f>'Допущения'!C36*'Допущения'!$B$8*'Допущения'!D36*$B7*(1+'Допущения'!$B$13)^0</x:f>
        <x:v>296657.69491525425</x:v>
      </x:c>
      <x:c r="I7" s="9" t="n">
        <x:f>'Допущения'!C37*'Допущения'!$B$8*'Допущения'!D37*$B7*(1+'Допущения'!$B$13)^0</x:f>
        <x:v>206012.28813559323</x:v>
      </x:c>
      <x:c r="J7" s="7" t="n">
        <x:f>SUM(C7:I7)</x:f>
        <x:v>12945812.18644068</x:v>
      </x:c>
      <x:c r="K7" s="9" t="n">
        <x:f>J7/(1+'Допущения'!$B$9)</x:f>
        <x:v>12098889.893869793</x:v>
      </x:c>
      <x:c r="L7" s="9" t="n">
        <x:f>C7/(1+'Допущения'!$B$9)*'Допущения'!E31+'Допущения'!C31*'Допущения'!$B$8*$B7*'Допущения'!F31*(1+'Допущения'!$B$14)^0+D7/(1+'Допущения'!$B$9)*'Допущения'!E32+'Допущения'!C32*'Допущения'!$B$8*$B7*'Допущения'!F32*(1+'Допущения'!$B$14)^0+E7/(1+'Допущения'!$B$9)*'Допущения'!E33+'Допущения'!C33*'Допущения'!$B$8*$B7*'Допущения'!F33*(1+'Допущения'!$B$14)^0+F7/(1+'Допущения'!$B$9)*'Допущения'!E34+'Допущения'!C34*'Допущения'!$B$8*$B7*'Допущения'!F34*(1+'Допущения'!$B$14)^0+G7/(1+'Допущения'!$B$9)*'Допущения'!E35+'Допущения'!C35*'Допущения'!$B$8*$B7*'Допущения'!F35*(1+'Допущения'!$B$14)^0+H7/(1+'Допущения'!$B$9)*'Допущения'!E36+'Допущения'!C36*'Допущения'!$B$8*$B7*'Допущения'!F36*(1+'Допущения'!$B$14)^0+I7/(1+'Допущения'!$B$9)*'Допущения'!E37+'Допущения'!C37*'Допущения'!$B$8*$B7*'Допущения'!F37*(1+'Допущения'!$B$14)^0</x:f>
        <x:v>1745135.868842072</x:v>
      </x:c>
      <x:c r="M7" s="9" t="n">
        <x:f>J7*'Допущения'!$B$11</x:f>
        <x:v>258916.2437288136</x:v>
      </x:c>
      <x:c r="N7" s="9" t="n">
        <x:f>'Инвестиции'!$C$35*(1+'Допущения'!$B$14)^0</x:f>
        <x:v>6449678.09225</x:v>
      </x:c>
      <x:c r="O7" s="9" t="n">
        <x:f>K7*'Допущения'!$B$10</x:f>
        <x:v>725933.3936321875</x:v>
      </x:c>
      <x:c r="P7" s="9" t="n">
        <x:f>K7*'Допущения'!$B$12</x:f>
        <x:v>241977.79787739587</x:v>
      </x:c>
      <x:c r="Q7" s="7" t="n">
        <x:f>K7-L7-M7-N7</x:f>
        <x:v>3645159.6890489077</x:v>
      </x:c>
      <x:c r="R7" s="7" t="n">
        <x:f>Q7-O7-P7</x:f>
        <x:v>2677248.497539324</x:v>
      </x:c>
      <x:c r="S7" s="9" t="n">
        <x:f>R7-'Инвестиции'!C20</x:f>
        <x:v>-142115140.75921068</x:v>
      </x:c>
      <x:c r="T7" s="7" t="n">
        <x:f>IF(S7&gt;=0,A7,999)</x:f>
        <x:v>999</x:v>
      </x:c>
      <x:c r="U7" s="22" t="n">
        <x:f>'Допущения'!C31*'Допущения'!$B$8*B7*'Допущения'!$B$17/'Допущения'!$B$18/'Допущения'!$B$16</x:f>
        <x:v>49.942372881355936</x:v>
      </x:c>
      <x:c r="V7" s="7"/>
      <x:c r="W7" s="7"/>
    </x:row>
    <x:row r="8" ht="23" customHeight="1">
      <x:c r="A8" s="1" t="n">
        <x:v>2</x:v>
      </x:c>
      <x:c r="B8" s="17" t="n">
        <x:f>'Допущения'!C43*'Допущения'!D43</x:f>
        <x:v>0.5872881355932205</x:v>
      </x:c>
      <x:c r="C8" s="9" t="n">
        <x:f>'Допущения'!C31*'Допущения'!$B$8*'Допущения'!D31*$B8*(1+'Допущения'!$B$13)^0</x:f>
        <x:v>6922012.881355934</x:v>
      </x:c>
      <x:c r="D8" s="9" t="n">
        <x:f>'Допущения'!C32*'Допущения'!$B$8*'Допущения'!D32*$B8*(1+'Допущения'!$B$13)^0</x:f>
        <x:v>1201738.3474576273</x:v>
      </x:c>
      <x:c r="E8" s="9" t="n">
        <x:f>'Допущения'!C33*'Допущения'!$B$8*'Допущения'!D33*$B8*(1+'Допущения'!$B$13)^0</x:f>
        <x:v>1470927.7372881358</x:v>
      </x:c>
      <x:c r="F8" s="9" t="n">
        <x:f>'Допущения'!C34*'Допущения'!$B$8*'Допущения'!D34*$B8*(1+'Допущения'!$B$13)^0</x:f>
        <x:v>1922781.3559322038</x:v>
      </x:c>
      <x:c r="G8" s="9" t="n">
        <x:f>'Допущения'!C35*'Допущения'!$B$8*'Допущения'!D35*$B8*(1+'Допущения'!$B$13)^0</x:f>
        <x:v>2999538.915254238</x:v>
      </x:c>
      <x:c r="H8" s="9" t="n">
        <x:f>'Допущения'!C36*'Допущения'!$B$8*'Допущения'!D36*$B8*(1+'Допущения'!$B$13)^0</x:f>
        <x:v>346100.6440677967</x:v>
      </x:c>
      <x:c r="I8" s="9" t="n">
        <x:f>'Допущения'!C37*'Допущения'!$B$8*'Допущения'!D37*$B8*(1+'Допущения'!$B$13)^0</x:f>
        <x:v>240347.66949152548</x:v>
      </x:c>
      <x:c r="J8" s="7" t="n">
        <x:f>SUM(C8:I8)</x:f>
        <x:v>15103447.550847461</x:v>
      </x:c>
      <x:c r="K8" s="9" t="n">
        <x:f>J8/(1+'Допущения'!$B$9)</x:f>
        <x:v>14115371.542848093</x:v>
      </x:c>
      <x:c r="L8" s="9" t="n">
        <x:f>C8/(1+'Допущения'!$B$9)*'Допущения'!E31+'Допущения'!C31*'Допущения'!$B$8*$B8*'Допущения'!F31*(1+'Допущения'!$B$14)^0+D8/(1+'Допущения'!$B$9)*'Допущения'!E32+'Допущения'!C32*'Допущения'!$B$8*$B8*'Допущения'!F32*(1+'Допущения'!$B$14)^0+E8/(1+'Допущения'!$B$9)*'Допущения'!E33+'Допущения'!C33*'Допущения'!$B$8*$B8*'Допущения'!F33*(1+'Допущения'!$B$14)^0+F8/(1+'Допущения'!$B$9)*'Допущения'!E34+'Допущения'!C34*'Допущения'!$B$8*$B8*'Допущения'!F34*(1+'Допущения'!$B$14)^0+G8/(1+'Допущения'!$B$9)*'Допущения'!E35+'Допущения'!C35*'Допущения'!$B$8*$B8*'Допущения'!F35*(1+'Допущения'!$B$14)^0+H8/(1+'Допущения'!$B$9)*'Допущения'!E36+'Допущения'!C36*'Допущения'!$B$8*$B8*'Допущения'!F36*(1+'Допущения'!$B$14)^0+I8/(1+'Допущения'!$B$9)*'Допущения'!E37+'Допущения'!C37*'Допущения'!$B$8*$B8*'Допущения'!F37*(1+'Допущения'!$B$14)^0</x:f>
        <x:v>2035991.8469824176</x:v>
      </x:c>
      <x:c r="M8" s="9" t="n">
        <x:f>J8*'Допущения'!$B$11</x:f>
        <x:v>302068.95101694926</x:v>
      </x:c>
      <x:c r="N8" s="9" t="n">
        <x:f>'Инвестиции'!$C$35*(1+'Допущения'!$B$14)^0</x:f>
        <x:v>6449678.09225</x:v>
      </x:c>
      <x:c r="O8" s="9" t="n">
        <x:f>K8*'Допущения'!$B$10</x:f>
        <x:v>846922.2925708856</x:v>
      </x:c>
      <x:c r="P8" s="9" t="n">
        <x:f>K8*'Допущения'!$B$12</x:f>
        <x:v>282307.4308569619</x:v>
      </x:c>
      <x:c r="Q8" s="7" t="n">
        <x:f>K8-L8-M8-N8</x:f>
        <x:v>5327632.652598727</x:v>
      </x:c>
      <x:c r="R8" s="7" t="n">
        <x:f>Q8-O8-P8</x:f>
        <x:v>4198402.92917088</x:v>
      </x:c>
      <x:c r="S8" s="7" t="n">
        <x:f>S7+R8</x:f>
        <x:v>-137916737.8300398</x:v>
      </x:c>
      <x:c r="T8" s="7" t="n">
        <x:f>IF(S8&gt;=0,A8,999)</x:f>
        <x:v>999</x:v>
      </x:c>
      <x:c r="U8" s="22" t="n">
        <x:f>'Допущения'!C31*'Допущения'!$B$8*B8*'Допущения'!$B$17/'Допущения'!$B$18/'Допущения'!$B$16</x:f>
        <x:v>58.26610169491526</x:v>
      </x:c>
      <x:c r="V8" s="7"/>
      <x:c r="W8" s="7"/>
    </x:row>
    <x:row r="9" ht="23" customHeight="1">
      <x:c r="A9" s="1" t="n">
        <x:v>3</x:v>
      </x:c>
      <x:c r="B9" s="17" t="n">
        <x:f>'Допущения'!C44*'Допущения'!D44</x:f>
        <x:v>0.6610169491525424</x:v>
      </x:c>
      <x:c r="C9" s="9" t="n">
        <x:f>'Допущения'!C31*'Допущения'!$B$8*'Допущения'!D31*$B9*(1+'Допущения'!$B$13)^0</x:f>
        <x:v>7791010.169491526</x:v>
      </x:c>
      <x:c r="D9" s="9" t="n">
        <x:f>'Допущения'!C32*'Допущения'!$B$8*'Допущения'!D32*$B9*(1+'Допущения'!$B$13)^0</x:f>
        <x:v>1352605.93220339</x:v>
      </x:c>
      <x:c r="E9" s="9" t="n">
        <x:f>'Допущения'!C33*'Допущения'!$B$8*'Допущения'!D33*$B9*(1+'Допущения'!$B$13)^0</x:f>
        <x:v>1655589.6610169492</x:v>
      </x:c>
      <x:c r="F9" s="9" t="n">
        <x:f>'Допущения'!C34*'Допущения'!$B$8*'Допущения'!D34*$B9*(1+'Допущения'!$B$13)^0</x:f>
        <x:v>2164169.4915254237</x:v>
      </x:c>
      <x:c r="G9" s="9" t="n">
        <x:f>'Допущения'!C35*'Допущения'!$B$8*'Допущения'!D35*$B9*(1+'Допущения'!$B$13)^0</x:f>
        <x:v>3376104.4067796613</x:v>
      </x:c>
      <x:c r="H9" s="9" t="n">
        <x:f>'Допущения'!C36*'Допущения'!$B$8*'Допущения'!D36*$B9*(1+'Допущения'!$B$13)^0</x:f>
        <x:v>389550.5084745763</x:v>
      </x:c>
      <x:c r="I9" s="9" t="n">
        <x:f>'Допущения'!C37*'Допущения'!$B$8*'Допущения'!D37*$B9*(1+'Допущения'!$B$13)^0</x:f>
        <x:v>270521.18644067796</x:v>
      </x:c>
      <x:c r="J9" s="7" t="n">
        <x:f>SUM(C9:I9)</x:f>
        <x:v>16999551.355932202</x:v>
      </x:c>
      <x:c r="K9" s="9" t="n">
        <x:f>J9/(1+'Допущения'!$B$9)</x:f>
        <x:v>15887431.173768412</x:v>
      </x:c>
      <x:c r="L9" s="9" t="n">
        <x:f>C9/(1+'Допущения'!$B$9)*'Допущения'!E31+'Допущения'!C31*'Допущения'!$B$8*$B9*'Допущения'!F31*(1+'Допущения'!$B$14)^0+D9/(1+'Допущения'!$B$9)*'Допущения'!E32+'Допущения'!C32*'Допущения'!$B$8*$B9*'Допущения'!F32*(1+'Допущения'!$B$14)^0+E9/(1+'Допущения'!$B$9)*'Допущения'!E33+'Допущения'!C33*'Допущения'!$B$8*$B9*'Допущения'!F33*(1+'Допущения'!$B$14)^0+F9/(1+'Допущения'!$B$9)*'Допущения'!E34+'Допущения'!C34*'Допущения'!$B$8*$B9*'Допущения'!F34*(1+'Допущения'!$B$14)^0+G9/(1+'Допущения'!$B$9)*'Допущения'!E35+'Допущения'!C35*'Допущения'!$B$8*$B9*'Допущения'!F35*(1+'Допущения'!$B$14)^0+H9/(1+'Допущения'!$B$9)*'Допущения'!E36+'Допущения'!C36*'Допущения'!$B$8*$B9*'Допущения'!F36*(1+'Допущения'!$B$14)^0+I9/(1+'Допущения'!$B$9)*'Допущения'!E37+'Допущения'!C37*'Допущения'!$B$8*$B9*'Допущения'!F37*(1+'Допущения'!$B$14)^0</x:f>
        <x:v>2291592.5550451446</x:v>
      </x:c>
      <x:c r="M9" s="9" t="n">
        <x:f>J9*'Допущения'!$B$11</x:f>
        <x:v>339991.02711864404</x:v>
      </x:c>
      <x:c r="N9" s="9" t="n">
        <x:f>'Инвестиции'!$C$35*(1+'Допущения'!$B$14)^0</x:f>
        <x:v>6449678.09225</x:v>
      </x:c>
      <x:c r="O9" s="9" t="n">
        <x:f>K9*'Допущения'!$B$10</x:f>
        <x:v>953245.8704261048</x:v>
      </x:c>
      <x:c r="P9" s="9" t="n">
        <x:f>K9*'Допущения'!$B$12</x:f>
        <x:v>317748.62347536825</x:v>
      </x:c>
      <x:c r="Q9" s="7" t="n">
        <x:f>K9-L9-M9-N9</x:f>
        <x:v>6806169.499354624</x:v>
      </x:c>
      <x:c r="R9" s="7" t="n">
        <x:f>Q9-O9-P9</x:f>
        <x:v>5535175.005453152</x:v>
      </x:c>
      <x:c r="S9" s="7" t="n">
        <x:f>S8+R9</x:f>
        <x:v>-132381562.82458664</x:v>
      </x:c>
      <x:c r="T9" s="7" t="n">
        <x:f>IF(S9&gt;=0,A9,999)</x:f>
        <x:v>999</x:v>
      </x:c>
      <x:c r="U9" s="22" t="n">
        <x:f>'Допущения'!C31*'Допущения'!$B$8*B9*'Допущения'!$B$17/'Допущения'!$B$18/'Допущения'!$B$16</x:f>
        <x:v>65.5808936825886</x:v>
      </x:c>
      <x:c r="V9" s="7"/>
      <x:c r="W9" s="7"/>
    </x:row>
    <x:row r="10" ht="23" customHeight="1">
      <x:c r="A10" s="1" t="n">
        <x:v>4</x:v>
      </x:c>
      <x:c r="B10" s="17" t="n">
        <x:f>'Допущения'!C45*'Допущения'!D45</x:f>
        <x:v>0.6864406779661016</x:v>
      </x:c>
      <x:c r="C10" s="9" t="n">
        <x:f>'Допущения'!C31*'Допущения'!$B$8*'Допущения'!D31*$B10*(1+'Допущения'!$B$13)^0</x:f>
        <x:v>8090664.406779661</x:v>
      </x:c>
      <x:c r="D10" s="9" t="n">
        <x:f>'Допущения'!C32*'Допущения'!$B$8*'Допущения'!D32*$B10*(1+'Допущения'!$B$13)^0</x:f>
        <x:v>1404629.2372881356</x:v>
      </x:c>
      <x:c r="E10" s="9" t="n">
        <x:f>'Допущения'!C33*'Допущения'!$B$8*'Допущения'!D33*$B10*(1+'Допущения'!$B$13)^0</x:f>
        <x:v>1719266.1864406778</x:v>
      </x:c>
      <x:c r="F10" s="9" t="n">
        <x:f>'Допущения'!C34*'Допущения'!$B$8*'Допущения'!D34*$B10*(1+'Допущения'!$B$13)^0</x:f>
        <x:v>2247406.779661017</x:v>
      </x:c>
      <x:c r="G10" s="9" t="n">
        <x:f>'Допущения'!C35*'Допущения'!$B$8*'Допущения'!D35*$B10*(1+'Допущения'!$B$13)^0</x:f>
        <x:v>3505954.576271186</x:v>
      </x:c>
      <x:c r="H10" s="9" t="n">
        <x:f>'Допущения'!C36*'Допущения'!$B$8*'Допущения'!D36*$B10*(1+'Допущения'!$B$13)^0</x:f>
        <x:v>404533.220338983</x:v>
      </x:c>
      <x:c r="I10" s="9" t="n">
        <x:f>'Допущения'!C37*'Допущения'!$B$8*'Допущения'!D37*$B10*(1+'Допущения'!$B$13)^0</x:f>
        <x:v>280925.8474576271</x:v>
      </x:c>
      <x:c r="J10" s="7" t="n">
        <x:f>SUM(C10:I10)</x:f>
        <x:v>17653380.254237287</x:v>
      </x:c>
      <x:c r="K10" s="9" t="n">
        <x:f>J10/(1+'Допущения'!$B$9)</x:f>
        <x:v>16498486.21891335</x:v>
      </x:c>
      <x:c r="L10" s="9" t="n">
        <x:f>C10/(1+'Допущения'!$B$9)*'Допущения'!E31+'Допущения'!C31*'Допущения'!$B$8*$B10*'Допущения'!F31*(1+'Допущения'!$B$14)^0+D10/(1+'Допущения'!$B$9)*'Допущения'!E32+'Допущения'!C32*'Допущения'!$B$8*$B10*'Допущения'!F32*(1+'Допущения'!$B$14)^0+E10/(1+'Допущения'!$B$9)*'Допущения'!E33+'Допущения'!C33*'Допущения'!$B$8*$B10*'Допущения'!F33*(1+'Допущения'!$B$14)^0+F10/(1+'Допущения'!$B$9)*'Допущения'!E34+'Допущения'!C34*'Допущения'!$B$8*$B10*'Допущения'!F34*(1+'Допущения'!$B$14)^0+G10/(1+'Допущения'!$B$9)*'Допущения'!E35+'Допущения'!C35*'Допущения'!$B$8*$B10*'Допущения'!F35*(1+'Допущения'!$B$14)^0+H10/(1+'Допущения'!$B$9)*'Допущения'!E36+'Допущения'!C36*'Допущения'!$B$8*$B10*'Допущения'!F36*(1+'Допущения'!$B$14)^0+I10/(1+'Допущения'!$B$9)*'Допущения'!E37+'Допущения'!C37*'Допущения'!$B$8*$B10*'Допущения'!F37*(1+'Допущения'!$B$14)^0</x:f>
        <x:v>2379730.7302391883</x:v>
      </x:c>
      <x:c r="M10" s="9" t="n">
        <x:f>J10*'Допущения'!$B$11</x:f>
        <x:v>353067.60508474574</x:v>
      </x:c>
      <x:c r="N10" s="9" t="n">
        <x:f>'Инвестиции'!$C$35*(1+'Допущения'!$B$14)^0</x:f>
        <x:v>6449678.09225</x:v>
      </x:c>
      <x:c r="O10" s="9" t="n">
        <x:f>K10*'Допущения'!$B$10</x:f>
        <x:v>989909.173134801</x:v>
      </x:c>
      <x:c r="P10" s="9" t="n">
        <x:f>K10*'Допущения'!$B$12</x:f>
        <x:v>329969.724378267</x:v>
      </x:c>
      <x:c r="Q10" s="7" t="n">
        <x:f>K10-L10-M10-N10</x:f>
        <x:v>7316009.791339417</x:v>
      </x:c>
      <x:c r="R10" s="7" t="n">
        <x:f>Q10-O10-P10</x:f>
        <x:v>5996130.893826349</x:v>
      </x:c>
      <x:c r="S10" s="7" t="n">
        <x:f>S9+R10</x:f>
        <x:v>-126385431.9307603</x:v>
      </x:c>
      <x:c r="T10" s="7" t="n">
        <x:f>IF(S10&gt;=0,A10,999)</x:f>
        <x:v>999</x:v>
      </x:c>
      <x:c r="U10" s="22" t="n">
        <x:f>'Допущения'!C31*'Допущения'!$B$8*B10*'Допущения'!$B$17/'Допущения'!$B$18/'Допущения'!$B$16</x:f>
        <x:v>68.10323574730353</x:v>
      </x:c>
      <x:c r="V10" s="7"/>
      <x:c r="W10" s="7"/>
    </x:row>
    <x:row r="11" ht="23" customHeight="1">
      <x:c r="A11" s="1" t="n">
        <x:v>5</x:v>
      </x:c>
      <x:c r="B11" s="17" t="n">
        <x:f>'Допущения'!C46*'Допущения'!D46</x:f>
        <x:v>0.7347457627118643</x:v>
      </x:c>
      <x:c r="C11" s="9" t="n">
        <x:f>'Допущения'!C31*'Допущения'!$B$8*'Допущения'!D31*$B11*(1+'Допущения'!$B$13)^0</x:f>
        <x:v>8660007.457627118</x:v>
      </x:c>
      <x:c r="D11" s="9" t="n">
        <x:f>'Допущения'!C32*'Допущения'!$B$8*'Допущения'!D32*$B11*(1+'Допущения'!$B$13)^0</x:f>
        <x:v>1503473.5169491523</x:v>
      </x:c>
      <x:c r="E11" s="9" t="n">
        <x:f>'Допущения'!C33*'Допущения'!$B$8*'Допущения'!D33*$B11*(1+'Допущения'!$B$13)^0</x:f>
        <x:v>1840251.5847457624</x:v>
      </x:c>
      <x:c r="F11" s="9" t="n">
        <x:f>'Допущения'!C34*'Допущения'!$B$8*'Допущения'!D34*$B11*(1+'Допущения'!$B$13)^0</x:f>
        <x:v>2405557.627118644</x:v>
      </x:c>
      <x:c r="G11" s="9" t="n">
        <x:f>'Допущения'!C35*'Допущения'!$B$8*'Допущения'!D35*$B11*(1+'Допущения'!$B$13)^0</x:f>
        <x:v>3752669.898305084</x:v>
      </x:c>
      <x:c r="H11" s="9" t="n">
        <x:f>'Допущения'!C36*'Допущения'!$B$8*'Допущения'!D36*$B11*(1+'Допущения'!$B$13)^0</x:f>
        <x:v>433000.37288135587</x:v>
      </x:c>
      <x:c r="I11" s="9" t="n">
        <x:f>'Допущения'!C37*'Допущения'!$B$8*'Допущения'!D37*$B11*(1+'Допущения'!$B$13)^0</x:f>
        <x:v>300694.7033898305</x:v>
      </x:c>
      <x:c r="J11" s="7" t="n">
        <x:f>SUM(C11:I11)</x:f>
        <x:v>18895655.16101695</x:v>
      </x:c>
      <x:c r="K11" s="9" t="n">
        <x:f>J11/(1+'Допущения'!$B$9)</x:f>
        <x:v>17659490.804688737</x:v>
      </x:c>
      <x:c r="L11" s="9" t="n">
        <x:f>C11/(1+'Допущения'!$B$9)*'Допущения'!E31+'Допущения'!C31*'Допущения'!$B$8*$B11*'Допущения'!F31*(1+'Допущения'!$B$14)^0+D11/(1+'Допущения'!$B$9)*'Допущения'!E32+'Допущения'!C32*'Допущения'!$B$8*$B11*'Допущения'!F32*(1+'Допущения'!$B$14)^0+E11/(1+'Допущения'!$B$9)*'Допущения'!E33+'Допущения'!C33*'Допущения'!$B$8*$B11*'Допущения'!F33*(1+'Допущения'!$B$14)^0+F11/(1+'Допущения'!$B$9)*'Допущения'!E34+'Допущения'!C34*'Допущения'!$B$8*$B11*'Допущения'!F34*(1+'Допущения'!$B$14)^0+G11/(1+'Допущения'!$B$9)*'Допущения'!E35+'Допущения'!C35*'Допущения'!$B$8*$B11*'Допущения'!F35*(1+'Допущения'!$B$14)^0+H11/(1+'Допущения'!$B$9)*'Допущения'!E36+'Допущения'!C36*'Допущения'!$B$8*$B11*'Допущения'!F36*(1+'Допущения'!$B$14)^0+I11/(1+'Допущения'!$B$9)*'Допущения'!E37+'Допущения'!C37*'Допущения'!$B$8*$B11*'Допущения'!F37*(1+'Допущения'!$B$14)^0</x:f>
        <x:v>2547193.263107872</x:v>
      </x:c>
      <x:c r="M11" s="9" t="n">
        <x:f>J11*'Допущения'!$B$11</x:f>
        <x:v>377913.103220339</x:v>
      </x:c>
      <x:c r="N11" s="9" t="n">
        <x:f>'Инвестиции'!$C$35*(1+'Допущения'!$B$14)^0</x:f>
        <x:v>6449678.09225</x:v>
      </x:c>
      <x:c r="O11" s="9" t="n">
        <x:f>K11*'Допущения'!$B$10</x:f>
        <x:v>1059569.4482813242</x:v>
      </x:c>
      <x:c r="P11" s="9" t="n">
        <x:f>K11*'Допущения'!$B$12</x:f>
        <x:v>353189.81609377475</x:v>
      </x:c>
      <x:c r="Q11" s="7" t="n">
        <x:f>K11-L11-M11-N11</x:f>
        <x:v>8284706.346110526</x:v>
      </x:c>
      <x:c r="R11" s="7" t="n">
        <x:f>Q11-O11-P11</x:f>
        <x:v>6871947.081735427</x:v>
      </x:c>
      <x:c r="S11" s="7" t="n">
        <x:f>S10+R11</x:f>
        <x:v>-119513484.84902486</x:v>
      </x:c>
      <x:c r="T11" s="7" t="n">
        <x:f>IF(S11&gt;=0,A11,999)</x:f>
        <x:v>999</x:v>
      </x:c>
      <x:c r="U11" s="22" t="n">
        <x:f>'Допущения'!C31*'Допущения'!$B$8*B11*'Допущения'!$B$17/'Допущения'!$B$18/'Допущения'!$B$16</x:f>
        <x:v>72.89568567026193</x:v>
      </x:c>
      <x:c r="V11" s="7"/>
      <x:c r="W11" s="7"/>
    </x:row>
    <x:row r="12" ht="23" customHeight="1">
      <x:c r="A12" s="1" t="n">
        <x:v>6</x:v>
      </x:c>
      <x:c r="B12" s="17" t="n">
        <x:f>'Допущения'!C47*'Допущения'!D47</x:f>
        <x:v>0.6406779661016948</x:v>
      </x:c>
      <x:c r="C12" s="9" t="n">
        <x:f>'Допущения'!C31*'Допущения'!$B$8*'Допущения'!D31*$B12*(1+'Допущения'!$B$13)^0</x:f>
        <x:v>7551286.779661016</x:v>
      </x:c>
      <x:c r="D12" s="9" t="n">
        <x:f>'Допущения'!C32*'Допущения'!$B$8*'Допущения'!D32*$B12*(1+'Допущения'!$B$13)^0</x:f>
        <x:v>1310987.288135593</x:v>
      </x:c>
      <x:c r="E12" s="9" t="n">
        <x:f>'Допущения'!C33*'Допущения'!$B$8*'Допущения'!D33*$B12*(1+'Допущения'!$B$13)^0</x:f>
        <x:v>1604648.4406779658</x:v>
      </x:c>
      <x:c r="F12" s="9" t="n">
        <x:f>'Допущения'!C34*'Допущения'!$B$8*'Допущения'!D34*$B12*(1+'Допущения'!$B$13)^0</x:f>
        <x:v>2097579.661016949</x:v>
      </x:c>
      <x:c r="G12" s="9" t="n">
        <x:f>'Допущения'!C35*'Допущения'!$B$8*'Допущения'!D35*$B12*(1+'Допущения'!$B$13)^0</x:f>
        <x:v>3272224.2711864403</x:v>
      </x:c>
      <x:c r="H12" s="9" t="n">
        <x:f>'Допущения'!C36*'Допущения'!$B$8*'Допущения'!D36*$B12*(1+'Допущения'!$B$13)^0</x:f>
        <x:v>377564.3389830508</x:v>
      </x:c>
      <x:c r="I12" s="9" t="n">
        <x:f>'Допущения'!C37*'Допущения'!$B$8*'Допущения'!D37*$B12*(1+'Допущения'!$B$13)^0</x:f>
        <x:v>262197.4576271186</x:v>
      </x:c>
      <x:c r="J12" s="7" t="n">
        <x:f>SUM(C12:I12)</x:f>
        <x:v>16476488.237288134</x:v>
      </x:c>
      <x:c r="K12" s="9" t="n">
        <x:f>J12/(1+'Допущения'!$B$9)</x:f>
        <x:v>15398587.13765246</x:v>
      </x:c>
      <x:c r="L12" s="9" t="n">
        <x:f>C12/(1+'Допущения'!$B$9)*'Допущения'!E31+'Допущения'!C31*'Допущения'!$B$8*$B12*'Допущения'!F31*(1+'Допущения'!$B$14)^0+D12/(1+'Допущения'!$B$9)*'Допущения'!E32+'Допущения'!C32*'Допущения'!$B$8*$B12*'Допущения'!F32*(1+'Допущения'!$B$14)^0+E12/(1+'Допущения'!$B$9)*'Допущения'!E33+'Допущения'!C33*'Допущения'!$B$8*$B12*'Допущения'!F33*(1+'Допущения'!$B$14)^0+F12/(1+'Допущения'!$B$9)*'Допущения'!E34+'Допущения'!C34*'Допущения'!$B$8*$B12*'Допущения'!F34*(1+'Допущения'!$B$14)^0+G12/(1+'Допущения'!$B$9)*'Допущения'!E35+'Допущения'!C35*'Допущения'!$B$8*$B12*'Допущения'!F35*(1+'Допущения'!$B$14)^0+H12/(1+'Допущения'!$B$9)*'Допущения'!E36+'Допущения'!C36*'Допущения'!$B$8*$B12*'Допущения'!F36*(1+'Допущения'!$B$14)^0+I12/(1+'Допущения'!$B$9)*'Допущения'!E37+'Допущения'!C37*'Допущения'!$B$8*$B12*'Допущения'!F37*(1+'Допущения'!$B$14)^0</x:f>
        <x:v>2221082.0148899094</x:v>
      </x:c>
      <x:c r="M12" s="9" t="n">
        <x:f>J12*'Допущения'!$B$11</x:f>
        <x:v>329529.7647457627</x:v>
      </x:c>
      <x:c r="N12" s="9" t="n">
        <x:f>'Инвестиции'!$C$35*(1+'Допущения'!$B$14)^0</x:f>
        <x:v>6449678.09225</x:v>
      </x:c>
      <x:c r="O12" s="9" t="n">
        <x:f>K12*'Допущения'!$B$10</x:f>
        <x:v>923915.2282591476</x:v>
      </x:c>
      <x:c r="P12" s="9" t="n">
        <x:f>K12*'Допущения'!$B$12</x:f>
        <x:v>307971.74275304924</x:v>
      </x:c>
      <x:c r="Q12" s="7" t="n">
        <x:f>K12-L12-M12-N12</x:f>
        <x:v>6398297.265766789</x:v>
      </x:c>
      <x:c r="R12" s="7" t="n">
        <x:f>Q12-O12-P12</x:f>
        <x:v>5166410.294754593</x:v>
      </x:c>
      <x:c r="S12" s="7" t="n">
        <x:f>S11+R12</x:f>
        <x:v>-114347074.55427027</x:v>
      </x:c>
      <x:c r="T12" s="7" t="n">
        <x:f>IF(S12&gt;=0,A12,999)</x:f>
        <x:v>999</x:v>
      </x:c>
      <x:c r="U12" s="22" t="n">
        <x:f>'Допущения'!C31*'Допущения'!$B$8*B12*'Допущения'!$B$17/'Допущения'!$B$18/'Допущения'!$B$16</x:f>
        <x:v>63.563020030816624</x:v>
      </x:c>
      <x:c r="V12" s="7"/>
      <x:c r="W12" s="7"/>
    </x:row>
    <x:row r="13" ht="23" customHeight="1">
      <x:c r="A13" s="1" t="n">
        <x:v>7</x:v>
      </x:c>
      <x:c r="B13" s="17" t="n">
        <x:f>'Допущения'!C48*'Допущения'!D48</x:f>
        <x:v>0.7245762711864406</x:v>
      </x:c>
      <x:c r="C13" s="9" t="n">
        <x:f>'Допущения'!C31*'Допущения'!$B$8*'Допущения'!D31*$B13*(1+'Допущения'!$B$13)^0</x:f>
        <x:v>8540145.762711864</x:v>
      </x:c>
      <x:c r="D13" s="9" t="n">
        <x:f>'Допущения'!C32*'Допущения'!$B$8*'Допущения'!D32*$B13*(1+'Допущения'!$B$13)^0</x:f>
        <x:v>1482664.1949152541</x:v>
      </x:c>
      <x:c r="E13" s="9" t="n">
        <x:f>'Допущения'!C33*'Допущения'!$B$8*'Допущения'!D33*$B13*(1+'Допущения'!$B$13)^0</x:f>
        <x:v>1814780.9745762711</x:v>
      </x:c>
      <x:c r="F13" s="9" t="n">
        <x:f>'Допущения'!C34*'Допущения'!$B$8*'Допущения'!D34*$B13*(1+'Допущения'!$B$13)^0</x:f>
        <x:v>2372262.7118644067</x:v>
      </x:c>
      <x:c r="G13" s="9" t="n">
        <x:f>'Допущения'!C35*'Допущения'!$B$8*'Допущения'!D35*$B13*(1+'Допущения'!$B$13)^0</x:f>
        <x:v>3700729.8305084743</x:v>
      </x:c>
      <x:c r="H13" s="9" t="n">
        <x:f>'Допущения'!C36*'Допущения'!$B$8*'Допущения'!D36*$B13*(1+'Допущения'!$B$13)^0</x:f>
        <x:v>427007.2881355932</x:v>
      </x:c>
      <x:c r="I13" s="9" t="n">
        <x:f>'Допущения'!C37*'Допущения'!$B$8*'Допущения'!D37*$B13*(1+'Допущения'!$B$13)^0</x:f>
        <x:v>296532.83898305084</x:v>
      </x:c>
      <x:c r="J13" s="7" t="n">
        <x:f>SUM(C13:I13)</x:f>
        <x:v>18634123.601694915</x:v>
      </x:c>
      <x:c r="K13" s="9" t="n">
        <x:f>J13/(1+'Допущения'!$B$9)</x:f>
        <x:v>17415068.78663076</x:v>
      </x:c>
      <x:c r="L13" s="9" t="n">
        <x:f>C13/(1+'Допущения'!$B$9)*'Допущения'!E31+'Допущения'!C31*'Допущения'!$B$8*$B13*'Допущения'!F31*(1+'Допущения'!$B$14)^0+D13/(1+'Допущения'!$B$9)*'Допущения'!E32+'Допущения'!C32*'Допущения'!$B$8*$B13*'Допущения'!F32*(1+'Допущения'!$B$14)^0+E13/(1+'Допущения'!$B$9)*'Допущения'!E33+'Допущения'!C33*'Допущения'!$B$8*$B13*'Допущения'!F33*(1+'Допущения'!$B$14)^0+F13/(1+'Допущения'!$B$9)*'Допущения'!E34+'Допущения'!C34*'Допущения'!$B$8*$B13*'Допущения'!F34*(1+'Допущения'!$B$14)^0+G13/(1+'Допущения'!$B$9)*'Допущения'!E35+'Допущения'!C35*'Допущения'!$B$8*$B13*'Допущения'!F35*(1+'Допущения'!$B$14)^0+H13/(1+'Допущения'!$B$9)*'Допущения'!E36+'Допущения'!C36*'Допущения'!$B$8*$B13*'Допущения'!F36*(1+'Допущения'!$B$14)^0+I13/(1+'Допущения'!$B$9)*'Допущения'!E37+'Допущения'!C37*'Допущения'!$B$8*$B13*'Допущения'!F37*(1+'Допущения'!$B$14)^0</x:f>
        <x:v>2511937.9930302547</x:v>
      </x:c>
      <x:c r="M13" s="9" t="n">
        <x:f>J13*'Допущения'!$B$11</x:f>
        <x:v>372682.4720338983</x:v>
      </x:c>
      <x:c r="N13" s="9" t="n">
        <x:f>'Инвестиции'!$C$35*(1+'Допущения'!$B$14)^0</x:f>
        <x:v>6449678.09225</x:v>
      </x:c>
      <x:c r="O13" s="9" t="n">
        <x:f>K13*'Допущения'!$B$10</x:f>
        <x:v>1044904.1271978456</x:v>
      </x:c>
      <x:c r="P13" s="9" t="n">
        <x:f>K13*'Допущения'!$B$12</x:f>
        <x:v>348301.37573261524</x:v>
      </x:c>
      <x:c r="Q13" s="7" t="n">
        <x:f>K13-L13-M13-N13</x:f>
        <x:v>8080770.22931661</x:v>
      </x:c>
      <x:c r="R13" s="7" t="n">
        <x:f>Q13-O13-P13</x:f>
        <x:v>6687564.7263861485</x:v>
      </x:c>
      <x:c r="S13" s="7" t="n">
        <x:f>S12+R13</x:f>
        <x:v>-107659509.82788412</x:v>
      </x:c>
      <x:c r="T13" s="7" t="n">
        <x:f>IF(S13&gt;=0,A13,999)</x:f>
        <x:v>999</x:v>
      </x:c>
      <x:c r="U13" s="22" t="n">
        <x:f>'Допущения'!C31*'Допущения'!$B$8*B13*'Допущения'!$B$17/'Допущения'!$B$18/'Допущения'!$B$16</x:f>
        <x:v>71.88674884437597</x:v>
      </x:c>
      <x:c r="V13" s="7"/>
      <x:c r="W13" s="7"/>
    </x:row>
    <x:row r="14" ht="23" customHeight="1">
      <x:c r="A14" s="1" t="n">
        <x:v>8</x:v>
      </x:c>
      <x:c r="B14" s="17" t="n">
        <x:f>'Допущения'!C49*'Допущения'!D49</x:f>
        <x:v>0.8135593220338982</x:v>
      </x:c>
      <x:c r="C14" s="9" t="n">
        <x:f>'Допущения'!C31*'Допущения'!$B$8*'Допущения'!D31*$B14*(1+'Допущения'!$B$13)^0</x:f>
        <x:v>9588935.593220338</x:v>
      </x:c>
      <x:c r="D14" s="9" t="n">
        <x:f>'Допущения'!C32*'Допущения'!$B$8*'Допущения'!D32*$B14*(1+'Допущения'!$B$13)^0</x:f>
        <x:v>1664745.7627118642</x:v>
      </x:c>
      <x:c r="E14" s="9" t="n">
        <x:f>'Допущения'!C33*'Допущения'!$B$8*'Допущения'!D33*$B14*(1+'Допущения'!$B$13)^0</x:f>
        <x:v>2037648.813559322</x:v>
      </x:c>
      <x:c r="F14" s="9" t="n">
        <x:f>'Допущения'!C34*'Допущения'!$B$8*'Допущения'!D34*$B14*(1+'Допущения'!$B$13)^0</x:f>
        <x:v>2663593.220338983</x:v>
      </x:c>
      <x:c r="G14" s="9" t="n">
        <x:f>'Допущения'!C35*'Допущения'!$B$8*'Допущения'!D35*$B14*(1+'Допущения'!$B$13)^0</x:f>
        <x:v>4155205.4237288134</x:v>
      </x:c>
      <x:c r="H14" s="9" t="n">
        <x:f>'Допущения'!C36*'Допущения'!$B$8*'Допущения'!D36*$B14*(1+'Допущения'!$B$13)^0</x:f>
        <x:v>479446.7796610169</x:v>
      </x:c>
      <x:c r="I14" s="9" t="n">
        <x:f>'Допущения'!C37*'Допущения'!$B$8*'Допущения'!D37*$B14*(1+'Допущения'!$B$13)^0</x:f>
        <x:v>332949.1525423729</x:v>
      </x:c>
      <x:c r="J14" s="7" t="n">
        <x:f>SUM(C14:I14)</x:f>
        <x:v>20922524.74576271</x:v>
      </x:c>
      <x:c r="K14" s="9" t="n">
        <x:f>J14/(1+'Допущения'!$B$9)</x:f>
        <x:v>19553761.444638044</x:v>
      </x:c>
      <x:c r="L14" s="9" t="n">
        <x:f>C14/(1+'Допущения'!$B$9)*'Допущения'!E31+'Допущения'!C31*'Допущения'!$B$8*$B14*'Допущения'!F31*(1+'Допущения'!$B$14)^0+D14/(1+'Допущения'!$B$9)*'Допущения'!E32+'Допущения'!C32*'Допущения'!$B$8*$B14*'Допущения'!F32*(1+'Допущения'!$B$14)^0+E14/(1+'Допущения'!$B$9)*'Допущения'!E33+'Допущения'!C33*'Допущения'!$B$8*$B14*'Допущения'!F33*(1+'Допущения'!$B$14)^0+F14/(1+'Допущения'!$B$9)*'Допущения'!E34+'Допущения'!C34*'Допущения'!$B$8*$B14*'Допущения'!F34*(1+'Допущения'!$B$14)^0+G14/(1+'Допущения'!$B$9)*'Допущения'!E35+'Допущения'!C35*'Допущения'!$B$8*$B14*'Допущения'!F35*(1+'Допущения'!$B$14)^0+H14/(1+'Допущения'!$B$9)*'Допущения'!E36+'Допущения'!C36*'Допущения'!$B$8*$B14*'Допущения'!F36*(1+'Допущения'!$B$14)^0+I14/(1+'Допущения'!$B$9)*'Допущения'!E37+'Допущения'!C37*'Допущения'!$B$8*$B14*'Допущения'!F37*(1+'Допущения'!$B$14)^0</x:f>
        <x:v>2820421.6062094085</x:v>
      </x:c>
      <x:c r="M14" s="9" t="n">
        <x:f>J14*'Допущения'!$B$11</x:f>
        <x:v>418450.4949152542</x:v>
      </x:c>
      <x:c r="N14" s="9" t="n">
        <x:f>'Инвестиции'!$C$35*(1+'Допущения'!$B$14)^0</x:f>
        <x:v>6449678.09225</x:v>
      </x:c>
      <x:c r="O14" s="9" t="n">
        <x:f>K14*'Допущения'!$B$10</x:f>
        <x:v>1173225.6866782827</x:v>
      </x:c>
      <x:c r="P14" s="9" t="n">
        <x:f>K14*'Допущения'!$B$12</x:f>
        <x:v>391075.2288927609</x:v>
      </x:c>
      <x:c r="Q14" s="7" t="n">
        <x:f>K14-L14-M14-N14</x:f>
        <x:v>9865211.25126338</x:v>
      </x:c>
      <x:c r="R14" s="7" t="n">
        <x:f>Q14-O14-P14</x:f>
        <x:v>8300910.335692336</x:v>
      </x:c>
      <x:c r="S14" s="7" t="n">
        <x:f>S13+R14</x:f>
        <x:v>-99358599.49219179</x:v>
      </x:c>
      <x:c r="T14" s="7" t="n">
        <x:f>IF(S14&gt;=0,A14,999)</x:f>
        <x:v>999</x:v>
      </x:c>
      <x:c r="U14" s="22" t="n">
        <x:f>'Допущения'!C31*'Допущения'!$B$8*B14*'Допущения'!$B$17/'Допущения'!$B$18/'Допущения'!$B$16</x:f>
        <x:v>80.71494607087827</x:v>
      </x:c>
      <x:c r="V14" s="7"/>
      <x:c r="W14" s="7"/>
    </x:row>
    <x:row r="15" ht="23" customHeight="1">
      <x:c r="A15" s="1" t="n">
        <x:v>9</x:v>
      </x:c>
      <x:c r="B15" s="17" t="n">
        <x:f>'Допущения'!C50*'Допущения'!D50</x:f>
        <x:v>1.0677966101694916</x:v>
      </x:c>
      <x:c r="C15" s="9" t="n">
        <x:f>'Допущения'!C31*'Допущения'!$B$8*'Допущения'!D31*$B15*(1+'Допущения'!$B$13)^0</x:f>
        <x:v>12585477.966101695</x:v>
      </x:c>
      <x:c r="D15" s="9" t="n">
        <x:f>'Допущения'!C32*'Допущения'!$B$8*'Допущения'!D32*$B15*(1+'Допущения'!$B$13)^0</x:f>
        <x:v>2184978.813559322</x:v>
      </x:c>
      <x:c r="E15" s="9" t="n">
        <x:f>'Допущения'!C33*'Допущения'!$B$8*'Допущения'!D33*$B15*(1+'Допущения'!$B$13)^0</x:f>
        <x:v>2674414.0677966103</x:v>
      </x:c>
      <x:c r="F15" s="9" t="n">
        <x:f>'Допущения'!C34*'Допущения'!$B$8*'Допущения'!D34*$B15*(1+'Допущения'!$B$13)^0</x:f>
        <x:v>3495966.1016949154</x:v>
      </x:c>
      <x:c r="G15" s="9" t="n">
        <x:f>'Допущения'!C35*'Допущения'!$B$8*'Допущения'!D35*$B15*(1+'Допущения'!$B$13)^0</x:f>
        <x:v>5453707.118644068</x:v>
      </x:c>
      <x:c r="H15" s="9" t="n">
        <x:f>'Допущения'!C36*'Допущения'!$B$8*'Допущения'!D36*$B15*(1+'Допущения'!$B$13)^0</x:f>
        <x:v>629273.8983050848</x:v>
      </x:c>
      <x:c r="I15" s="9" t="n">
        <x:f>'Допущения'!C37*'Допущения'!$B$8*'Допущения'!D37*$B15*(1+'Допущения'!$B$13)^0</x:f>
        <x:v>436995.76271186443</x:v>
      </x:c>
      <x:c r="J15" s="7" t="n">
        <x:f>SUM(C15:I15)</x:f>
        <x:v>27460813.72881356</x:v>
      </x:c>
      <x:c r="K15" s="9" t="n">
        <x:f>J15/(1+'Допущения'!$B$9)</x:f>
        <x:v>25664311.896087438</x:v>
      </x:c>
      <x:c r="L15" s="9" t="n">
        <x:f>C15/(1+'Допущения'!$B$9)*'Допущения'!E31+'Допущения'!C31*'Допущения'!$B$8*$B15*'Допущения'!F31*(1+'Допущения'!$B$14)^0+D15/(1+'Допущения'!$B$9)*'Допущения'!E32+'Допущения'!C32*'Допущения'!$B$8*$B15*'Допущения'!F32*(1+'Допущения'!$B$14)^0+E15/(1+'Допущения'!$B$9)*'Допущения'!E33+'Допущения'!C33*'Допущения'!$B$8*$B15*'Допущения'!F33*(1+'Допущения'!$B$14)^0+F15/(1+'Допущения'!$B$9)*'Допущения'!E34+'Допущения'!C34*'Допущения'!$B$8*$B15*'Допущения'!F34*(1+'Допущения'!$B$14)^0+G15/(1+'Допущения'!$B$9)*'Допущения'!E35+'Допущения'!C35*'Допущения'!$B$8*$B15*'Допущения'!F35*(1+'Допущения'!$B$14)^0+H15/(1+'Допущения'!$B$9)*'Допущения'!E36+'Допущения'!C36*'Допущения'!$B$8*$B15*'Допущения'!F36*(1+'Допущения'!$B$14)^0+I15/(1+'Допущения'!$B$9)*'Допущения'!E37+'Допущения'!C37*'Допущения'!$B$8*$B15*'Допущения'!F37*(1+'Допущения'!$B$14)^0</x:f>
        <x:v>3701803.358149849</x:v>
      </x:c>
      <x:c r="M15" s="9" t="n">
        <x:f>J15*'Допущения'!$B$11</x:f>
        <x:v>549216.2745762712</x:v>
      </x:c>
      <x:c r="N15" s="9" t="n">
        <x:f>'Инвестиции'!$C$35*(1+'Допущения'!$B$14)^0</x:f>
        <x:v>6449678.09225</x:v>
      </x:c>
      <x:c r="O15" s="9" t="n">
        <x:f>K15*'Допущения'!$B$10</x:f>
        <x:v>1539858.7137652463</x:v>
      </x:c>
      <x:c r="P15" s="9" t="n">
        <x:f>K15*'Допущения'!$B$12</x:f>
        <x:v>513286.2379217488</x:v>
      </x:c>
      <x:c r="Q15" s="7" t="n">
        <x:f>K15-L15-M15-N15</x:f>
        <x:v>14963614.171111315</x:v>
      </x:c>
      <x:c r="R15" s="7" t="n">
        <x:f>Q15-O15-P15</x:f>
        <x:v>12910469.21942432</x:v>
      </x:c>
      <x:c r="S15" s="7" t="n">
        <x:f>S14+R15</x:f>
        <x:v>-86448130.27276747</x:v>
      </x:c>
      <x:c r="T15" s="7" t="n">
        <x:f>IF(S15&gt;=0,A15,999)</x:f>
        <x:v>999</x:v>
      </x:c>
      <x:c r="U15" s="22" t="n">
        <x:f>'Допущения'!C31*'Допущения'!$B$8*B15*'Допущения'!$B$17/'Допущения'!$B$18/'Допущения'!$B$16</x:f>
        <x:v>105.93836671802774</x:v>
      </x:c>
      <x:c r="V15" s="7"/>
      <x:c r="W15" s="7"/>
    </x:row>
    <x:row r="16" ht="23" customHeight="1">
      <x:c r="A16" s="1" t="n">
        <x:v>10</x:v>
      </x:c>
      <x:c r="B16" s="17" t="n">
        <x:f>'Допущения'!C51*'Допущения'!D51</x:f>
        <x:v>1.1694915254237286</x:v>
      </x:c>
      <x:c r="C16" s="9" t="n">
        <x:f>'Допущения'!C31*'Допущения'!$B$8*'Допущения'!D31*$B16*(1+'Допущения'!$B$13)^0</x:f>
        <x:v>13784094.915254235</x:v>
      </x:c>
      <x:c r="D16" s="9" t="n">
        <x:f>'Допущения'!C32*'Допущения'!$B$8*'Допущения'!D32*$B16*(1+'Допущения'!$B$13)^0</x:f>
        <x:v>2393072.0338983047</x:v>
      </x:c>
      <x:c r="E16" s="9" t="n">
        <x:f>'Допущения'!C33*'Допущения'!$B$8*'Допущения'!D33*$B16*(1+'Допущения'!$B$13)^0</x:f>
        <x:v>2929120.169491525</x:v>
      </x:c>
      <x:c r="F16" s="9" t="n">
        <x:f>'Допущения'!C34*'Допущения'!$B$8*'Допущения'!D34*$B16*(1+'Допущения'!$B$13)^0</x:f>
        <x:v>3828915.254237287</x:v>
      </x:c>
      <x:c r="G16" s="9" t="n">
        <x:f>'Допущения'!C35*'Допущения'!$B$8*'Допущения'!D35*$B16*(1+'Допущения'!$B$13)^0</x:f>
        <x:v>5973107.796610168</x:v>
      </x:c>
      <x:c r="H16" s="9" t="n">
        <x:f>'Допущения'!C36*'Допущения'!$B$8*'Допущения'!D36*$B16*(1+'Допущения'!$B$13)^0</x:f>
        <x:v>689204.7457627117</x:v>
      </x:c>
      <x:c r="I16" s="9" t="n">
        <x:f>'Допущения'!C37*'Допущения'!$B$8*'Допущения'!D37*$B16*(1+'Допущения'!$B$13)^0</x:f>
        <x:v>478614.4067796609</x:v>
      </x:c>
      <x:c r="J16" s="7" t="n">
        <x:f>SUM(C16:I16)</x:f>
        <x:v>30076129.322033897</x:v>
      </x:c>
      <x:c r="K16" s="9" t="n">
        <x:f>J16/(1+'Допущения'!$B$9)</x:f>
        <x:v>28108532.076667193</x:v>
      </x:c>
      <x:c r="L16" s="9" t="n">
        <x:f>C16/(1+'Допущения'!$B$9)*'Допущения'!E31+'Допущения'!C31*'Допущения'!$B$8*$B16*'Допущения'!F31*(1+'Допущения'!$B$14)^0+D16/(1+'Допущения'!$B$9)*'Допущения'!E32+'Допущения'!C32*'Допущения'!$B$8*$B16*'Допущения'!F32*(1+'Допущения'!$B$14)^0+E16/(1+'Допущения'!$B$9)*'Допущения'!E33+'Допущения'!C33*'Допущения'!$B$8*$B16*'Допущения'!F33*(1+'Допущения'!$B$14)^0+F16/(1+'Допущения'!$B$9)*'Допущения'!E34+'Допущения'!C34*'Допущения'!$B$8*$B16*'Допущения'!F34*(1+'Допущения'!$B$14)^0+G16/(1+'Допущения'!$B$9)*'Допущения'!E35+'Допущения'!C35*'Допущения'!$B$8*$B16*'Допущения'!F35*(1+'Допущения'!$B$14)^0+H16/(1+'Допущения'!$B$9)*'Допущения'!E36+'Допущения'!C36*'Допущения'!$B$8*$B16*'Допущения'!F36*(1+'Допущения'!$B$14)^0+I16/(1+'Допущения'!$B$9)*'Допущения'!E37+'Допущения'!C37*'Допущения'!$B$8*$B16*'Допущения'!F37*(1+'Допущения'!$B$14)^0</x:f>
        <x:v>4054356.058926025</x:v>
      </x:c>
      <x:c r="M16" s="9" t="n">
        <x:f>J16*'Допущения'!$B$11</x:f>
        <x:v>601522.586440678</x:v>
      </x:c>
      <x:c r="N16" s="9" t="n">
        <x:f>'Инвестиции'!$C$35*(1+'Допущения'!$B$14)^0</x:f>
        <x:v>6449678.09225</x:v>
      </x:c>
      <x:c r="O16" s="9" t="n">
        <x:f>K16*'Допущения'!$B$10</x:f>
        <x:v>1686511.9246000315</x:v>
      </x:c>
      <x:c r="P16" s="9" t="n">
        <x:f>K16*'Допущения'!$B$12</x:f>
        <x:v>562170.6415333439</x:v>
      </x:c>
      <x:c r="Q16" s="7" t="n">
        <x:f>K16-L16-M16-N16</x:f>
        <x:v>17002975.33905049</x:v>
      </x:c>
      <x:c r="R16" s="7" t="n">
        <x:f>Q16-O16-P16</x:f>
        <x:v>14754292.772917116</x:v>
      </x:c>
      <x:c r="S16" s="7" t="n">
        <x:f>S15+R16</x:f>
        <x:v>-71693837.49985035</x:v>
      </x:c>
      <x:c r="T16" s="7" t="n">
        <x:f>IF(S16&gt;=0,A16,999)</x:f>
        <x:v>999</x:v>
      </x:c>
      <x:c r="U16" s="22" t="n">
        <x:f>'Допущения'!C31*'Допущения'!$B$8*B16*'Допущения'!$B$17/'Допущения'!$B$18/'Допущения'!$B$16</x:f>
        <x:v>116.0277349768875</x:v>
      </x:c>
      <x:c r="V16" s="7"/>
      <x:c r="W16" s="7"/>
    </x:row>
    <x:row r="17" ht="23" customHeight="1">
      <x:c r="A17" s="1" t="n">
        <x:v>11</x:v>
      </x:c>
      <x:c r="B17" s="17" t="n">
        <x:f>'Допущения'!C52*'Допущения'!D52</x:f>
        <x:v>1.2203389830508473</x:v>
      </x:c>
      <x:c r="C17" s="9" t="n">
        <x:f>'Допущения'!C31*'Допущения'!$B$8*'Допущения'!D31*$B17*(1+'Допущения'!$B$13)^0</x:f>
        <x:v>14383403.389830507</x:v>
      </x:c>
      <x:c r="D17" s="9" t="n">
        <x:f>'Допущения'!C32*'Допущения'!$B$8*'Допущения'!D32*$B17*(1+'Допущения'!$B$13)^0</x:f>
        <x:v>2497118.6440677964</x:v>
      </x:c>
      <x:c r="E17" s="9" t="n">
        <x:f>'Допущения'!C33*'Допущения'!$B$8*'Допущения'!D33*$B17*(1+'Допущения'!$B$13)^0</x:f>
        <x:v>3056473.2203389825</x:v>
      </x:c>
      <x:c r="F17" s="9" t="n">
        <x:f>'Допущения'!C34*'Допущения'!$B$8*'Допущения'!D34*$B17*(1+'Допущения'!$B$13)^0</x:f>
        <x:v>3995389.8305084743</x:v>
      </x:c>
      <x:c r="G17" s="9" t="n">
        <x:f>'Допущения'!C35*'Допущения'!$B$8*'Допущения'!D35*$B17*(1+'Допущения'!$B$13)^0</x:f>
        <x:v>6232808.13559322</x:v>
      </x:c>
      <x:c r="H17" s="9" t="n">
        <x:f>'Допущения'!C36*'Допущения'!$B$8*'Допущения'!D36*$B17*(1+'Допущения'!$B$13)^0</x:f>
        <x:v>719170.1694915254</x:v>
      </x:c>
      <x:c r="I17" s="9" t="n">
        <x:f>'Допущения'!C37*'Допущения'!$B$8*'Допущения'!D37*$B17*(1+'Допущения'!$B$13)^0</x:f>
        <x:v>499423.7288135593</x:v>
      </x:c>
      <x:c r="J17" s="7" t="n">
        <x:f>SUM(C17:I17)</x:f>
        <x:v>31383787.118644066</x:v>
      </x:c>
      <x:c r="K17" s="9" t="n">
        <x:f>J17/(1+'Допущения'!$B$9)</x:f>
        <x:v>29330642.16695707</x:v>
      </x:c>
      <x:c r="L17" s="9" t="n">
        <x:f>C17/(1+'Допущения'!$B$9)*'Допущения'!E31+'Допущения'!C31*'Допущения'!$B$8*$B17*'Допущения'!F31*(1+'Допущения'!$B$14)^0+D17/(1+'Допущения'!$B$9)*'Допущения'!E32+'Допущения'!C32*'Допущения'!$B$8*$B17*'Допущения'!F32*(1+'Допущения'!$B$14)^0+E17/(1+'Допущения'!$B$9)*'Допущения'!E33+'Допущения'!C33*'Допущения'!$B$8*$B17*'Допущения'!F33*(1+'Допущения'!$B$14)^0+F17/(1+'Допущения'!$B$9)*'Допущения'!E34+'Допущения'!C34*'Допущения'!$B$8*$B17*'Допущения'!F34*(1+'Допущения'!$B$14)^0+G17/(1+'Допущения'!$B$9)*'Допущения'!E35+'Допущения'!C35*'Допущения'!$B$8*$B17*'Допущения'!F35*(1+'Допущения'!$B$14)^0+H17/(1+'Допущения'!$B$9)*'Допущения'!E36+'Допущения'!C36*'Допущения'!$B$8*$B17*'Допущения'!F36*(1+'Допущения'!$B$14)^0+I17/(1+'Допущения'!$B$9)*'Допущения'!E37+'Допущения'!C37*'Допущения'!$B$8*$B17*'Допущения'!F37*(1+'Допущения'!$B$14)^0</x:f>
        <x:v>4230632.409314113</x:v>
      </x:c>
      <x:c r="M17" s="9" t="n">
        <x:f>J17*'Допущения'!$B$11</x:f>
        <x:v>627675.7423728814</x:v>
      </x:c>
      <x:c r="N17" s="9" t="n">
        <x:f>'Инвестиции'!$C$35*(1+'Допущения'!$B$14)^0</x:f>
        <x:v>6449678.09225</x:v>
      </x:c>
      <x:c r="O17" s="9" t="n">
        <x:f>K17*'Допущения'!$B$10</x:f>
        <x:v>1759838.5300174241</x:v>
      </x:c>
      <x:c r="P17" s="9" t="n">
        <x:f>K17*'Допущения'!$B$12</x:f>
        <x:v>586612.8433391413</x:v>
      </x:c>
      <x:c r="Q17" s="7" t="n">
        <x:f>K17-L17-M17-N17</x:f>
        <x:v>18022655.923020072</x:v>
      </x:c>
      <x:c r="R17" s="7" t="n">
        <x:f>Q17-O17-P17</x:f>
        <x:v>15676204.549663506</x:v>
      </x:c>
      <x:c r="S17" s="7" t="n">
        <x:f>S16+R17</x:f>
        <x:v>-56017632.95018684</x:v>
      </x:c>
      <x:c r="T17" s="7" t="n">
        <x:f>IF(S17&gt;=0,A17,999)</x:f>
        <x:v>999</x:v>
      </x:c>
      <x:c r="U17" s="22" t="n">
        <x:f>'Допущения'!C31*'Допущения'!$B$8*B17*'Допущения'!$B$17/'Допущения'!$B$18/'Допущения'!$B$16</x:f>
        <x:v>121.07241910631738</x:v>
      </x:c>
      <x:c r="V17" s="7"/>
      <x:c r="W17" s="7"/>
    </x:row>
    <x:row r="18" ht="23" customHeight="1">
      <x:c r="A18" s="1" t="n">
        <x:v>12</x:v>
      </x:c>
      <x:c r="B18" s="17" t="n">
        <x:f>'Допущения'!C53*'Допущения'!D53</x:f>
        <x:v>1.271186440677966</x:v>
      </x:c>
      <x:c r="C18" s="9" t="n">
        <x:f>'Допущения'!C31*'Допущения'!$B$8*'Допущения'!D31*$B18*(1+'Допущения'!$B$13)^0</x:f>
        <x:v>14982711.86440678</x:v>
      </x:c>
      <x:c r="D18" s="9" t="n">
        <x:f>'Допущения'!C32*'Допущения'!$B$8*'Допущения'!D32*$B18*(1+'Допущения'!$B$13)^0</x:f>
        <x:v>2601165.254237288</x:v>
      </x:c>
      <x:c r="E18" s="9" t="n">
        <x:f>'Допущения'!C33*'Допущения'!$B$8*'Допущения'!D33*$B18*(1+'Допущения'!$B$13)^0</x:f>
        <x:v>3183826.2711864407</x:v>
      </x:c>
      <x:c r="F18" s="9" t="n">
        <x:f>'Допущения'!C34*'Допущения'!$B$8*'Допущения'!D34*$B18*(1+'Допущения'!$B$13)^0</x:f>
        <x:v>4161864.406779661</x:v>
      </x:c>
      <x:c r="G18" s="9" t="n">
        <x:f>'Допущения'!C35*'Допущения'!$B$8*'Допущения'!D35*$B18*(1+'Допущения'!$B$13)^0</x:f>
        <x:v>6492508.474576271</x:v>
      </x:c>
      <x:c r="H18" s="9" t="n">
        <x:f>'Допущения'!C36*'Допущения'!$B$8*'Допущения'!D36*$B18*(1+'Допущения'!$B$13)^0</x:f>
        <x:v>749135.5932203389</x:v>
      </x:c>
      <x:c r="I18" s="9" t="n">
        <x:f>'Допущения'!C37*'Допущения'!$B$8*'Допущения'!D37*$B18*(1+'Допущения'!$B$13)^0</x:f>
        <x:v>520233.0508474576</x:v>
      </x:c>
      <x:c r="J18" s="7" t="n">
        <x:f>SUM(C18:I18)</x:f>
        <x:v>32691444.915254235</x:v>
      </x:c>
      <x:c r="K18" s="9" t="n">
        <x:f>J18/(1+'Допущения'!$B$9)</x:f>
        <x:v>30552752.25724695</x:v>
      </x:c>
      <x:c r="L18" s="9" t="n">
        <x:f>C18/(1+'Допущения'!$B$9)*'Допущения'!E31+'Допущения'!C31*'Допущения'!$B$8*$B18*'Допущения'!F31*(1+'Допущения'!$B$14)^0+D18/(1+'Допущения'!$B$9)*'Допущения'!E32+'Допущения'!C32*'Допущения'!$B$8*$B18*'Допущения'!F32*(1+'Допущения'!$B$14)^0+E18/(1+'Допущения'!$B$9)*'Допущения'!E33+'Допущения'!C33*'Допущения'!$B$8*$B18*'Допущения'!F33*(1+'Допущения'!$B$14)^0+F18/(1+'Допущения'!$B$9)*'Допущения'!E34+'Допущения'!C34*'Допущения'!$B$8*$B18*'Допущения'!F34*(1+'Допущения'!$B$14)^0+G18/(1+'Допущения'!$B$9)*'Допущения'!E35+'Допущения'!C35*'Допущения'!$B$8*$B18*'Допущения'!F35*(1+'Допущения'!$B$14)^0+H18/(1+'Допущения'!$B$9)*'Допущения'!E36+'Допущения'!C36*'Допущения'!$B$8*$B18*'Допущения'!F36*(1+'Допущения'!$B$14)^0+I18/(1+'Допущения'!$B$9)*'Допущения'!E37+'Допущения'!C37*'Допущения'!$B$8*$B18*'Допущения'!F37*(1+'Допущения'!$B$14)^0</x:f>
        <x:v>4406908.759702202</x:v>
      </x:c>
      <x:c r="M18" s="9" t="n">
        <x:f>J18*'Допущения'!$B$11</x:f>
        <x:v>653828.8983050847</x:v>
      </x:c>
      <x:c r="N18" s="9" t="n">
        <x:f>'Инвестиции'!$C$35*(1+'Допущения'!$B$14)^0</x:f>
        <x:v>6449678.09225</x:v>
      </x:c>
      <x:c r="O18" s="9" t="n">
        <x:f>K18*'Допущения'!$B$10</x:f>
        <x:v>1833165.1354348168</x:v>
      </x:c>
      <x:c r="P18" s="9" t="n">
        <x:f>K18*'Допущения'!$B$12</x:f>
        <x:v>611055.045144939</x:v>
      </x:c>
      <x:c r="Q18" s="7" t="n">
        <x:f>K18-L18-M18-N18</x:f>
        <x:v>19042336.50698966</x:v>
      </x:c>
      <x:c r="R18" s="7" t="n">
        <x:f>Q18-O18-P18</x:f>
        <x:v>16598116.326409904</x:v>
      </x:c>
      <x:c r="S18" s="7" t="n">
        <x:f>S17+R18</x:f>
        <x:v>-39419516.623776935</x:v>
      </x:c>
      <x:c r="T18" s="7" t="n">
        <x:f>IF(S18&gt;=0,A18,999)</x:f>
        <x:v>999</x:v>
      </x:c>
      <x:c r="U18" s="22" t="n">
        <x:f>'Допущения'!C31*'Допущения'!$B$8*B18*'Допущения'!$B$17/'Допущения'!$B$18/'Допущения'!$B$16</x:f>
        <x:v>126.11710323574727</x:v>
      </x:c>
      <x:c r="V18" s="7"/>
      <x:c r="W18" s="7"/>
    </x:row>
    <x:row r="19" ht="23" customHeight="1">
      <x:c r="A19" s="1" t="n">
        <x:v>13</x:v>
      </x:c>
      <x:c r="B19" s="17" t="n">
        <x:f>'Допущения'!C42*'Допущения'!D53</x:f>
        <x:v>1.1186440677966103</x:v>
      </x:c>
      <x:c r="C19" s="9" t="n">
        <x:f>'Допущения'!C31*'Допущения'!$B$8*'Допущения'!D31*$B19*(1+'Допущения'!$B$13)^1</x:f>
        <x:v>13580330.033898307</x:v>
      </x:c>
      <x:c r="D19" s="9" t="n">
        <x:f>'Допущения'!C32*'Допущения'!$B$8*'Допущения'!D32*$B19*(1+'Допущения'!$B$13)^1</x:f>
        <x:v>2357696.1864406783</x:v>
      </x:c>
      <x:c r="E19" s="9" t="n">
        <x:f>'Допущения'!C33*'Допущения'!$B$8*'Допущения'!D33*$B19*(1+'Допущения'!$B$13)^1</x:f>
        <x:v>2885820.1322033904</x:v>
      </x:c>
      <x:c r="F19" s="9" t="n">
        <x:f>'Допущения'!C34*'Допущения'!$B$8*'Допущения'!D34*$B19*(1+'Допущения'!$B$13)^1</x:f>
        <x:v>3772313.898305085</x:v>
      </x:c>
      <x:c r="G19" s="9" t="n">
        <x:f>'Допущения'!C35*'Допущения'!$B$8*'Допущения'!D35*$B19*(1+'Допущения'!$B$13)^1</x:f>
        <x:v>5884809.681355934</x:v>
      </x:c>
      <x:c r="H19" s="9" t="n">
        <x:f>'Допущения'!C36*'Допущения'!$B$8*'Допущения'!D36*$B19*(1+'Допущения'!$B$13)^1</x:f>
        <x:v>679016.5016949152</x:v>
      </x:c>
      <x:c r="I19" s="9" t="n">
        <x:f>'Допущения'!C37*'Допущения'!$B$8*'Допущения'!D37*$B19*(1+'Допущения'!$B$13)^1</x:f>
        <x:v>471539.2372881356</x:v>
      </x:c>
      <x:c r="J19" s="7" t="n">
        <x:f>SUM(C19:I19)</x:f>
        <x:v>29631525.671186443</x:v>
      </x:c>
      <x:c r="K19" s="9" t="n">
        <x:f>J19/(1+'Допущения'!$B$9)</x:f>
        <x:v>27693014.64596864</x:v>
      </x:c>
      <x:c r="L19" s="9" t="n">
        <x:f>C19/(1+'Допущения'!$B$9)*'Допущения'!E31+'Допущения'!C31*'Допущения'!$B$8*$B19*'Допущения'!F31*(1+'Допущения'!$B$14)^1+D19/(1+'Допущения'!$B$9)*'Допущения'!E32+'Допущения'!C32*'Допущения'!$B$8*$B19*'Допущения'!F32*(1+'Допущения'!$B$14)^1+E19/(1+'Допущения'!$B$9)*'Допущения'!E33+'Допущения'!C33*'Допущения'!$B$8*$B19*'Допущения'!F33*(1+'Допущения'!$B$14)^1+F19/(1+'Допущения'!$B$9)*'Допущения'!E34+'Допущения'!C34*'Допущения'!$B$8*$B19*'Допущения'!F34*(1+'Допущения'!$B$14)^1+G19/(1+'Допущения'!$B$9)*'Допущения'!E35+'Допущения'!C35*'Допущения'!$B$8*$B19*'Допущения'!F35*(1+'Допущения'!$B$14)^1+H19/(1+'Допущения'!$B$9)*'Допущения'!E36+'Допущения'!C36*'Допущения'!$B$8*$B19*'Допущения'!F36*(1+'Допущения'!$B$14)^1+I19/(1+'Допущения'!$B$9)*'Допущения'!E37+'Допущения'!C37*'Допущения'!$B$8*$B19*'Допущения'!F37*(1+'Допущения'!$B$14)^1</x:f>
        <x:v>3996253.3201330598</x:v>
      </x:c>
      <x:c r="M19" s="9" t="n">
        <x:f>J19*'Допущения'!$B$11</x:f>
        <x:v>592630.5134237289</x:v>
      </x:c>
      <x:c r="N19" s="9" t="n">
        <x:f>'Инвестиции'!$C$35*(1+'Допущения'!$B$14)^1</x:f>
        <x:v>6772161.9968625</x:v>
      </x:c>
      <x:c r="O19" s="9" t="n">
        <x:f>K19*'Допущения'!$B$10</x:f>
        <x:v>1661580.8787581183</x:v>
      </x:c>
      <x:c r="P19" s="9" t="n">
        <x:f>K19*'Допущения'!$B$12</x:f>
        <x:v>553860.2929193728</x:v>
      </x:c>
      <x:c r="Q19" s="7" t="n">
        <x:f>K19-L19-M19-N19</x:f>
        <x:v>16331968.815549348</x:v>
      </x:c>
      <x:c r="R19" s="7" t="n">
        <x:f>Q19-O19-P19</x:f>
        <x:v>14116527.643871857</x:v>
      </x:c>
      <x:c r="S19" s="7" t="n">
        <x:f>S18+R19</x:f>
        <x:v>-25302988.979905076</x:v>
      </x:c>
      <x:c r="T19" s="7" t="n">
        <x:f>IF(S19&gt;=0,A19,999)</x:f>
        <x:v>999</x:v>
      </x:c>
      <x:c r="U19" s="22" t="n">
        <x:f>'Допущения'!C31*'Допущения'!$B$8*B19*'Допущения'!$B$17/'Допущения'!$B$18/'Допущения'!$B$16</x:f>
        <x:v>110.98305084745762</x:v>
      </x:c>
      <x:c r="V19" s="7"/>
      <x:c r="W19" s="7"/>
    </x:row>
    <x:row r="20" ht="23" customHeight="1">
      <x:c r="A20" s="1" t="n">
        <x:v>14</x:v>
      </x:c>
      <x:c r="B20" s="17" t="n">
        <x:f>'Допущения'!C43*'Допущения'!D53</x:f>
        <x:v>1.0677966101694916</x:v>
      </x:c>
      <x:c r="C20" s="9" t="n">
        <x:f>'Допущения'!C31*'Допущения'!$B$8*'Допущения'!D31*$B20*(1+'Допущения'!$B$13)^1</x:f>
        <x:v>12963042.305084746</x:v>
      </x:c>
      <x:c r="D20" s="9" t="n">
        <x:f>'Допущения'!C32*'Допущения'!$B$8*'Допущения'!D32*$B20*(1+'Допущения'!$B$13)^1</x:f>
        <x:v>2250528.177966102</x:v>
      </x:c>
      <x:c r="E20" s="9" t="n">
        <x:f>'Допущения'!C33*'Допущения'!$B$8*'Допущения'!D33*$B20*(1+'Допущения'!$B$13)^1</x:f>
        <x:v>2754646.489830509</x:v>
      </x:c>
      <x:c r="F20" s="9" t="n">
        <x:f>'Допущения'!C34*'Допущения'!$B$8*'Допущения'!D34*$B20*(1+'Допущения'!$B$13)^1</x:f>
        <x:v>3600845.084745763</x:v>
      </x:c>
      <x:c r="G20" s="9" t="n">
        <x:f>'Допущения'!C35*'Допущения'!$B$8*'Допущения'!D35*$B20*(1+'Допущения'!$B$13)^1</x:f>
        <x:v>5617318.33220339</x:v>
      </x:c>
      <x:c r="H20" s="9" t="n">
        <x:f>'Допущения'!C36*'Допущения'!$B$8*'Допущения'!D36*$B20*(1+'Допущения'!$B$13)^1</x:f>
        <x:v>648152.1152542373</x:v>
      </x:c>
      <x:c r="I20" s="9" t="n">
        <x:f>'Допущения'!C37*'Допущения'!$B$8*'Допущения'!D37*$B20*(1+'Допущения'!$B$13)^1</x:f>
        <x:v>450105.63559322036</x:v>
      </x:c>
      <x:c r="J20" s="7" t="n">
        <x:f>SUM(C20:I20)</x:f>
        <x:v>28284638.140677966</x:v>
      </x:c>
      <x:c r="K20" s="9" t="n">
        <x:f>J20/(1+'Допущения'!$B$9)</x:f>
        <x:v>26434241.25297006</x:v>
      </x:c>
      <x:c r="L20" s="9" t="n">
        <x:f>C20/(1+'Допущения'!$B$9)*'Допущения'!E31+'Допущения'!C31*'Допущения'!$B$8*$B20*'Допущения'!F31*(1+'Допущения'!$B$14)^1+D20/(1+'Допущения'!$B$9)*'Допущения'!E32+'Допущения'!C32*'Допущения'!$B$8*$B20*'Допущения'!F32*(1+'Допущения'!$B$14)^1+E20/(1+'Допущения'!$B$9)*'Допущения'!E33+'Допущения'!C33*'Допущения'!$B$8*$B20*'Допущения'!F33*(1+'Допущения'!$B$14)^1+F20/(1+'Допущения'!$B$9)*'Допущения'!E34+'Допущения'!C34*'Допущения'!$B$8*$B20*'Допущения'!F34*(1+'Допущения'!$B$14)^1+G20/(1+'Допущения'!$B$9)*'Допущения'!E35+'Допущения'!C35*'Допущения'!$B$8*$B20*'Допущения'!F35*(1+'Допущения'!$B$14)^1+H20/(1+'Допущения'!$B$9)*'Допущения'!E36+'Допущения'!C36*'Допущения'!$B$8*$B20*'Допущения'!F36*(1+'Допущения'!$B$14)^1+I20/(1+'Допущения'!$B$9)*'Допущения'!E37+'Допущения'!C37*'Допущения'!$B$8*$B20*'Допущения'!F37*(1+'Допущения'!$B$14)^1</x:f>
        <x:v>3814605.441945192</x:v>
      </x:c>
      <x:c r="M20" s="9" t="n">
        <x:f>J20*'Допущения'!$B$11</x:f>
        <x:v>565692.7628135594</x:v>
      </x:c>
      <x:c r="N20" s="9" t="n">
        <x:f>'Инвестиции'!$C$35*(1+'Допущения'!$B$14)^1</x:f>
        <x:v>6772161.9968625</x:v>
      </x:c>
      <x:c r="O20" s="9" t="n">
        <x:f>K20*'Допущения'!$B$10</x:f>
        <x:v>1586054.4751782035</x:v>
      </x:c>
      <x:c r="P20" s="9" t="n">
        <x:f>K20*'Допущения'!$B$12</x:f>
        <x:v>528684.8250594012</x:v>
      </x:c>
      <x:c r="Q20" s="7" t="n">
        <x:f>K20-L20-M20-N20</x:f>
        <x:v>15281781.051348805</x:v>
      </x:c>
      <x:c r="R20" s="7" t="n">
        <x:f>Q20-O20-P20</x:f>
        <x:v>13167041.7511112</x:v>
      </x:c>
      <x:c r="S20" s="7" t="n">
        <x:f>S19+R20</x:f>
        <x:v>-12135947.228793876</x:v>
      </x:c>
      <x:c r="T20" s="7" t="n">
        <x:f>IF(S20&gt;=0,A20,999)</x:f>
        <x:v>999</x:v>
      </x:c>
      <x:c r="U20" s="22" t="n">
        <x:f>'Допущения'!C31*'Допущения'!$B$8*B20*'Допущения'!$B$17/'Допущения'!$B$18/'Допущения'!$B$16</x:f>
        <x:v>105.93836671802774</x:v>
      </x:c>
      <x:c r="V20" s="7"/>
      <x:c r="W20" s="7"/>
    </x:row>
    <x:row r="21" ht="23" customHeight="1">
      <x:c r="A21" s="1" t="n">
        <x:v>15</x:v>
      </x:c>
      <x:c r="B21" s="17" t="n">
        <x:f>'Допущения'!C44*'Допущения'!D53</x:f>
        <x:v>1.0169491525423728</x:v>
      </x:c>
      <x:c r="C21" s="9" t="n">
        <x:f>'Допущения'!C31*'Допущения'!$B$8*'Допущения'!D31*$B21*(1+'Допущения'!$B$13)^1</x:f>
        <x:v>12345754.576271186</x:v>
      </x:c>
      <x:c r="D21" s="9" t="n">
        <x:f>'Допущения'!C32*'Допущения'!$B$8*'Допущения'!D32*$B21*(1+'Допущения'!$B$13)^1</x:f>
        <x:v>2143360.1694915253</x:v>
      </x:c>
      <x:c r="E21" s="9" t="n">
        <x:f>'Допущения'!C33*'Допущения'!$B$8*'Допущения'!D33*$B21*(1+'Допущения'!$B$13)^1</x:f>
        <x:v>2623472.8474576273</x:v>
      </x:c>
      <x:c r="F21" s="9" t="n">
        <x:f>'Допущения'!C34*'Допущения'!$B$8*'Допущения'!D34*$B21*(1+'Допущения'!$B$13)^1</x:f>
        <x:v>3429376.2711864407</x:v>
      </x:c>
      <x:c r="G21" s="9" t="n">
        <x:f>'Допущения'!C35*'Допущения'!$B$8*'Допущения'!D35*$B21*(1+'Допущения'!$B$13)^1</x:f>
        <x:v>5349826.983050847</x:v>
      </x:c>
      <x:c r="H21" s="9" t="n">
        <x:f>'Допущения'!C36*'Допущения'!$B$8*'Допущения'!D36*$B21*(1+'Допущения'!$B$13)^1</x:f>
        <x:v>617287.7288135593</x:v>
      </x:c>
      <x:c r="I21" s="9" t="n">
        <x:f>'Допущения'!C37*'Допущения'!$B$8*'Допущения'!D37*$B21*(1+'Допущения'!$B$13)^1</x:f>
        <x:v>428672.0338983051</x:v>
      </x:c>
      <x:c r="J21" s="7" t="n">
        <x:f>SUM(C21:I21)</x:f>
        <x:v>26937750.61016949</x:v>
      </x:c>
      <x:c r="K21" s="9" t="n">
        <x:f>J21/(1+'Допущения'!$B$9)</x:f>
        <x:v>25175467.859971482</x:v>
      </x:c>
      <x:c r="L21" s="9" t="n">
        <x:f>C21/(1+'Допущения'!$B$9)*'Допущения'!E31+'Допущения'!C31*'Допущения'!$B$8*$B21*'Допущения'!F31*(1+'Допущения'!$B$14)^1+D21/(1+'Допущения'!$B$9)*'Допущения'!E32+'Допущения'!C32*'Допущения'!$B$8*$B21*'Допущения'!F32*(1+'Допущения'!$B$14)^1+E21/(1+'Допущения'!$B$9)*'Допущения'!E33+'Допущения'!C33*'Допущения'!$B$8*$B21*'Допущения'!F33*(1+'Допущения'!$B$14)^1+F21/(1+'Допущения'!$B$9)*'Допущения'!E34+'Допущения'!C34*'Допущения'!$B$8*$B21*'Допущения'!F34*(1+'Допущения'!$B$14)^1+G21/(1+'Допущения'!$B$9)*'Допущения'!E35+'Допущения'!C35*'Допущения'!$B$8*$B21*'Допущения'!F35*(1+'Допущения'!$B$14)^1+H21/(1+'Допущения'!$B$9)*'Допущения'!E36+'Допущения'!C36*'Допущения'!$B$8*$B21*'Допущения'!F36*(1+'Допущения'!$B$14)^1+I21/(1+'Допущения'!$B$9)*'Допущения'!E37+'Допущения'!C37*'Допущения'!$B$8*$B21*'Допущения'!F37*(1+'Допущения'!$B$14)^1</x:f>
        <x:v>3632957.5637573255</x:v>
      </x:c>
      <x:c r="M21" s="9" t="n">
        <x:f>J21*'Допущения'!$B$11</x:f>
        <x:v>538755.0122033898</x:v>
      </x:c>
      <x:c r="N21" s="9" t="n">
        <x:f>'Инвестиции'!$C$35*(1+'Допущения'!$B$14)^1</x:f>
        <x:v>6772161.9968625</x:v>
      </x:c>
      <x:c r="O21" s="9" t="n">
        <x:f>K21*'Допущения'!$B$10</x:f>
        <x:v>1510528.0715982888</x:v>
      </x:c>
      <x:c r="P21" s="9" t="n">
        <x:f>K21*'Допущения'!$B$12</x:f>
        <x:v>503509.35719942965</x:v>
      </x:c>
      <x:c r="Q21" s="7" t="n">
        <x:f>K21-L21-M21-N21</x:f>
        <x:v>14231593.287148267</x:v>
      </x:c>
      <x:c r="R21" s="7" t="n">
        <x:f>Q21-O21-P21</x:f>
        <x:v>12217555.858350547</x:v>
      </x:c>
      <x:c r="S21" s="7" t="n">
        <x:f>S20+R21</x:f>
        <x:v>81608.62955667078</x:v>
      </x:c>
      <x:c r="T21" s="7" t="n">
        <x:f>IF(S21&gt;=0,A21,999)</x:f>
        <x:v>15</x:v>
      </x:c>
      <x:c r="U21" s="22" t="n">
        <x:f>'Допущения'!C31*'Допущения'!$B$8*B21*'Допущения'!$B$17/'Допущения'!$B$18/'Допущения'!$B$16</x:f>
        <x:v>100.89368258859783</x:v>
      </x:c>
      <x:c r="V21" s="7"/>
      <x:c r="W21" s="7"/>
    </x:row>
    <x:row r="22" ht="23" customHeight="1">
      <x:c r="A22" s="1" t="n">
        <x:v>16</x:v>
      </x:c>
      <x:c r="B22" s="17" t="n">
        <x:f>'Допущения'!C45*'Допущения'!D53</x:f>
        <x:v>0.9152542372881356</x:v>
      </x:c>
      <x:c r="C22" s="9" t="n">
        <x:f>'Допущения'!C31*'Допущения'!$B$8*'Допущения'!D31*$B22*(1+'Допущения'!$B$13)^1</x:f>
        <x:v>11111179.118644068</x:v>
      </x:c>
      <x:c r="D22" s="9" t="n">
        <x:f>'Допущения'!C32*'Допущения'!$B$8*'Допущения'!D32*$B22*(1+'Допущения'!$B$13)^1</x:f>
        <x:v>1929024.152542373</x:v>
      </x:c>
      <x:c r="E22" s="9" t="n">
        <x:f>'Допущения'!C33*'Допущения'!$B$8*'Допущения'!D33*$B22*(1+'Допущения'!$B$13)^1</x:f>
        <x:v>2361125.5627118642</x:v>
      </x:c>
      <x:c r="F22" s="9" t="n">
        <x:f>'Допущения'!C34*'Допущения'!$B$8*'Допущения'!D34*$B22*(1+'Допущения'!$B$13)^1</x:f>
        <x:v>3086438.644067797</x:v>
      </x:c>
      <x:c r="G22" s="9" t="n">
        <x:f>'Допущения'!C35*'Допущения'!$B$8*'Допущения'!D35*$B22*(1+'Допущения'!$B$13)^1</x:f>
        <x:v>4814844.284745763</x:v>
      </x:c>
      <x:c r="H22" s="9" t="n">
        <x:f>'Допущения'!C36*'Допущения'!$B$8*'Допущения'!D36*$B22*(1+'Допущения'!$B$13)^1</x:f>
        <x:v>555558.9559322034</x:v>
      </x:c>
      <x:c r="I22" s="9" t="n">
        <x:f>'Допущения'!C37*'Допущения'!$B$8*'Допущения'!D37*$B22*(1+'Допущения'!$B$13)^1</x:f>
        <x:v>385804.8305084746</x:v>
      </x:c>
      <x:c r="J22" s="7" t="n">
        <x:f>SUM(C22:I22)</x:f>
        <x:v>24243975.549152546</x:v>
      </x:c>
      <x:c r="K22" s="9" t="n">
        <x:f>J22/(1+'Допущения'!$B$9)</x:f>
        <x:v>22657921.07397434</x:v>
      </x:c>
      <x:c r="L22" s="9" t="n">
        <x:f>C22/(1+'Допущения'!$B$9)*'Допущения'!E31+'Допущения'!C31*'Допущения'!$B$8*$B22*'Допущения'!F31*(1+'Допущения'!$B$14)^1+D22/(1+'Допущения'!$B$9)*'Допущения'!E32+'Допущения'!C32*'Допущения'!$B$8*$B22*'Допущения'!F32*(1+'Допущения'!$B$14)^1+E22/(1+'Допущения'!$B$9)*'Допущения'!E33+'Допущения'!C33*'Допущения'!$B$8*$B22*'Допущения'!F33*(1+'Допущения'!$B$14)^1+F22/(1+'Допущения'!$B$9)*'Допущения'!E34+'Допущения'!C34*'Допущения'!$B$8*$B22*'Допущения'!F34*(1+'Допущения'!$B$14)^1+G22/(1+'Допущения'!$B$9)*'Допущения'!E35+'Допущения'!C35*'Допущения'!$B$8*$B22*'Допущения'!F35*(1+'Допущения'!$B$14)^1+H22/(1+'Допущения'!$B$9)*'Допущения'!E36+'Допущения'!C36*'Допущения'!$B$8*$B22*'Допущения'!F36*(1+'Допущения'!$B$14)^1+I22/(1+'Допущения'!$B$9)*'Допущения'!E37+'Допущения'!C37*'Допущения'!$B$8*$B22*'Допущения'!F37*(1+'Допущения'!$B$14)^1</x:f>
        <x:v>3269661.807381593</x:v>
      </x:c>
      <x:c r="M22" s="9" t="n">
        <x:f>J22*'Допущения'!$B$11</x:f>
        <x:v>484879.5109830509</x:v>
      </x:c>
      <x:c r="N22" s="9" t="n">
        <x:f>'Инвестиции'!$C$35*(1+'Допущения'!$B$14)^1</x:f>
        <x:v>6772161.9968625</x:v>
      </x:c>
      <x:c r="O22" s="9" t="n">
        <x:f>K22*'Допущения'!$B$10</x:f>
        <x:v>1359475.2644384603</x:v>
      </x:c>
      <x:c r="P22" s="9" t="n">
        <x:f>K22*'Допущения'!$B$12</x:f>
        <x:v>453158.42147948686</x:v>
      </x:c>
      <x:c r="Q22" s="7" t="n">
        <x:f>K22-L22-M22-N22</x:f>
        <x:v>12131217.758747198</x:v>
      </x:c>
      <x:c r="R22" s="7" t="n">
        <x:f>Q22-O22-P22</x:f>
        <x:v>10318584.07282925</x:v>
      </x:c>
      <x:c r="S22" s="7" t="n">
        <x:f>S21+R22</x:f>
        <x:v>10400192.702385921</x:v>
      </x:c>
      <x:c r="T22" s="7" t="n">
        <x:f>IF(S22&gt;=0,A22,999)</x:f>
        <x:v>16</x:v>
      </x:c>
      <x:c r="U22" s="22" t="n">
        <x:f>'Допущения'!C31*'Допущения'!$B$8*B22*'Допущения'!$B$17/'Допущения'!$B$18/'Допущения'!$B$16</x:f>
        <x:v>90.80431432973805</x:v>
      </x:c>
      <x:c r="V22" s="7"/>
      <x:c r="W22" s="7"/>
    </x:row>
    <x:row r="23" ht="23" customHeight="1">
      <x:c r="A23" s="1" t="n">
        <x:v>17</x:v>
      </x:c>
      <x:c r="B23" s="17" t="n">
        <x:f>'Допущения'!C46*'Допущения'!D53</x:f>
        <x:v>0.8644067796610169</x:v>
      </x:c>
      <x:c r="C23" s="9" t="n">
        <x:f>'Допущения'!C31*'Допущения'!$B$8*'Допущения'!D31*$B23*(1+'Допущения'!$B$13)^1</x:f>
        <x:v>10493891.389830507</x:v>
      </x:c>
      <x:c r="D23" s="9" t="n">
        <x:f>'Допущения'!C32*'Допущения'!$B$8*'Допущения'!D32*$B23*(1+'Допущения'!$B$13)^1</x:f>
        <x:v>1821856.1440677964</x:v>
      </x:c>
      <x:c r="E23" s="9" t="n">
        <x:f>'Допущения'!C33*'Допущения'!$B$8*'Допущения'!D33*$B23*(1+'Допущения'!$B$13)^1</x:f>
        <x:v>2229951.9203389827</x:v>
      </x:c>
      <x:c r="F23" s="9" t="n">
        <x:f>'Допущения'!C34*'Допущения'!$B$8*'Допущения'!D34*$B23*(1+'Допущения'!$B$13)^1</x:f>
        <x:v>2914969.8305084743</x:v>
      </x:c>
      <x:c r="G23" s="9" t="n">
        <x:f>'Допущения'!C35*'Допущения'!$B$8*'Допущения'!D35*$B23*(1+'Допущения'!$B$13)^1</x:f>
        <x:v>4547352.93559322</x:v>
      </x:c>
      <x:c r="H23" s="9" t="n">
        <x:f>'Допущения'!C36*'Допущения'!$B$8*'Допущения'!D36*$B23*(1+'Допущения'!$B$13)^1</x:f>
        <x:v>524694.5694915254</x:v>
      </x:c>
      <x:c r="I23" s="9" t="n">
        <x:f>'Допущения'!C37*'Допущения'!$B$8*'Допущения'!D37*$B23*(1+'Допущения'!$B$13)^1</x:f>
        <x:v>364371.2288135593</x:v>
      </x:c>
      <x:c r="J23" s="7" t="n">
        <x:f>SUM(C23:I23)</x:f>
        <x:v>22897088.018644065</x:v>
      </x:c>
      <x:c r="K23" s="9" t="n">
        <x:f>J23/(1+'Допущения'!$B$9)</x:f>
        <x:v>21399147.68097576</x:v>
      </x:c>
      <x:c r="L23" s="9" t="n">
        <x:f>C23/(1+'Допущения'!$B$9)*'Допущения'!E31+'Допущения'!C31*'Допущения'!$B$8*$B23*'Допущения'!F31*(1+'Допущения'!$B$14)^1+D23/(1+'Допущения'!$B$9)*'Допущения'!E32+'Допущения'!C32*'Допущения'!$B$8*$B23*'Допущения'!F32*(1+'Допущения'!$B$14)^1+E23/(1+'Допущения'!$B$9)*'Допущения'!E33+'Допущения'!C33*'Допущения'!$B$8*$B23*'Допущения'!F33*(1+'Допущения'!$B$14)^1+F23/(1+'Допущения'!$B$9)*'Допущения'!E34+'Допущения'!C34*'Допущения'!$B$8*$B23*'Допущения'!F34*(1+'Допущения'!$B$14)^1+G23/(1+'Допущения'!$B$9)*'Допущения'!E35+'Допущения'!C35*'Допущения'!$B$8*$B23*'Допущения'!F35*(1+'Допущения'!$B$14)^1+H23/(1+'Допущения'!$B$9)*'Допущения'!E36+'Допущения'!C36*'Допущения'!$B$8*$B23*'Допущения'!F36*(1+'Допущения'!$B$14)^1+I23/(1+'Допущения'!$B$9)*'Допущения'!E37+'Допущения'!C37*'Допущения'!$B$8*$B23*'Допущения'!F37*(1+'Допущения'!$B$14)^1</x:f>
        <x:v>3088013.9291937267</x:v>
      </x:c>
      <x:c r="M23" s="9" t="n">
        <x:f>J23*'Допущения'!$B$11</x:f>
        <x:v>457941.7603728813</x:v>
      </x:c>
      <x:c r="N23" s="9" t="n">
        <x:f>'Инвестиции'!$C$35*(1+'Допущения'!$B$14)^1</x:f>
        <x:v>6772161.9968625</x:v>
      </x:c>
      <x:c r="O23" s="9" t="n">
        <x:f>K23*'Допущения'!$B$10</x:f>
        <x:v>1283948.8608585456</x:v>
      </x:c>
      <x:c r="P23" s="9" t="n">
        <x:f>K23*'Допущения'!$B$12</x:f>
        <x:v>427982.95361951523</x:v>
      </x:c>
      <x:c r="Q23" s="7" t="n">
        <x:f>K23-L23-M23-N23</x:f>
        <x:v>11081029.994546652</x:v>
      </x:c>
      <x:c r="R23" s="7" t="n">
        <x:f>Q23-O23-P23</x:f>
        <x:v>9369098.180068592</x:v>
      </x:c>
      <x:c r="S23" s="7" t="n">
        <x:f>S22+R23</x:f>
        <x:v>19769290.882454515</x:v>
      </x:c>
      <x:c r="T23" s="7" t="n">
        <x:f>IF(S23&gt;=0,A23,999)</x:f>
        <x:v>17</x:v>
      </x:c>
      <x:c r="U23" s="22" t="n">
        <x:f>'Допущения'!C31*'Допущения'!$B$8*B23*'Допущения'!$B$17/'Допущения'!$B$18/'Допущения'!$B$16</x:f>
        <x:v>85.75963020030815</x:v>
      </x:c>
      <x:c r="V23" s="7"/>
      <x:c r="W23" s="7"/>
    </x:row>
    <x:row r="24" ht="23" customHeight="1">
      <x:c r="A24" s="1" t="n">
        <x:v>18</x:v>
      </x:c>
      <x:c r="B24" s="17" t="n">
        <x:f>'Допущения'!C47*'Допущения'!D53</x:f>
        <x:v>0.7118644067796609</x:v>
      </x:c>
      <x:c r="C24" s="9" t="n">
        <x:f>'Допущения'!C31*'Допущения'!$B$8*'Допущения'!D31*$B24*(1+'Допущения'!$B$13)^1</x:f>
        <x:v>8642028.20338983</x:v>
      </x:c>
      <x:c r="D24" s="9" t="n">
        <x:f>'Допущения'!C32*'Допущения'!$B$8*'Допущения'!D32*$B24*(1+'Допущения'!$B$13)^1</x:f>
        <x:v>1500352.1186440678</x:v>
      </x:c>
      <x:c r="E24" s="9" t="n">
        <x:f>'Допущения'!C33*'Допущения'!$B$8*'Допущения'!D33*$B24*(1+'Допущения'!$B$13)^1</x:f>
        <x:v>1836430.9932203388</x:v>
      </x:c>
      <x:c r="F24" s="9" t="n">
        <x:f>'Допущения'!C34*'Допущения'!$B$8*'Допущения'!D34*$B24*(1+'Допущения'!$B$13)^1</x:f>
        <x:v>2400563.3898305083</x:v>
      </x:c>
      <x:c r="G24" s="9" t="n">
        <x:f>'Допущения'!C35*'Допущения'!$B$8*'Допущения'!D35*$B24*(1+'Допущения'!$B$13)^1</x:f>
        <x:v>3744878.888135593</x:v>
      </x:c>
      <x:c r="H24" s="9" t="n">
        <x:f>'Допущения'!C36*'Допущения'!$B$8*'Допущения'!D36*$B24*(1+'Допущения'!$B$13)^1</x:f>
        <x:v>432101.4101694915</x:v>
      </x:c>
      <x:c r="I24" s="9" t="n">
        <x:f>'Допущения'!C37*'Допущения'!$B$8*'Допущения'!D37*$B24*(1+'Допущения'!$B$13)^1</x:f>
        <x:v>300070.42372881353</x:v>
      </x:c>
      <x:c r="J24" s="7" t="n">
        <x:f>SUM(C24:I24)</x:f>
        <x:v>18856425.42711864</x:v>
      </x:c>
      <x:c r="K24" s="9" t="n">
        <x:f>J24/(1+'Допущения'!$B$9)</x:f>
        <x:v>17622827.501980036</x:v>
      </x:c>
      <x:c r="L24" s="9" t="n">
        <x:f>C24/(1+'Допущения'!$B$9)*'Допущения'!E31+'Допущения'!C31*'Допущения'!$B$8*$B24*'Допущения'!F31*(1+'Допущения'!$B$14)^1+D24/(1+'Допущения'!$B$9)*'Допущения'!E32+'Допущения'!C32*'Допущения'!$B$8*$B24*'Допущения'!F32*(1+'Допущения'!$B$14)^1+E24/(1+'Допущения'!$B$9)*'Допущения'!E33+'Допущения'!C33*'Допущения'!$B$8*$B24*'Допущения'!F33*(1+'Допущения'!$B$14)^1+F24/(1+'Допущения'!$B$9)*'Допущения'!E34+'Допущения'!C34*'Допущения'!$B$8*$B24*'Допущения'!F34*(1+'Допущения'!$B$14)^1+G24/(1+'Допущения'!$B$9)*'Допущения'!E35+'Допущения'!C35*'Допущения'!$B$8*$B24*'Допущения'!F35*(1+'Допущения'!$B$14)^1+H24/(1+'Допущения'!$B$9)*'Допущения'!E36+'Допущения'!C36*'Допущения'!$B$8*$B24*'Допущения'!F36*(1+'Допущения'!$B$14)^1+I24/(1+'Допущения'!$B$9)*'Допущения'!E37+'Допущения'!C37*'Допущения'!$B$8*$B24*'Допущения'!F37*(1+'Допущения'!$B$14)^1</x:f>
        <x:v>2543070.294630128</x:v>
      </x:c>
      <x:c r="M24" s="9" t="n">
        <x:f>J24*'Допущения'!$B$11</x:f>
        <x:v>377128.5085423728</x:v>
      </x:c>
      <x:c r="N24" s="9" t="n">
        <x:f>'Инвестиции'!$C$35*(1+'Допущения'!$B$14)^1</x:f>
        <x:v>6772161.9968625</x:v>
      </x:c>
      <x:c r="O24" s="9" t="n">
        <x:f>K24*'Допущения'!$B$10</x:f>
        <x:v>1057369.6501188022</x:v>
      </x:c>
      <x:c r="P24" s="9" t="n">
        <x:f>K24*'Допущения'!$B$12</x:f>
        <x:v>352456.55003960076</x:v>
      </x:c>
      <x:c r="Q24" s="7" t="n">
        <x:f>K24-L24-M24-N24</x:f>
        <x:v>7930466.701945036</x:v>
      </x:c>
      <x:c r="R24" s="7" t="n">
        <x:f>Q24-O24-P24</x:f>
        <x:v>6520640.501786632</x:v>
      </x:c>
      <x:c r="S24" s="7" t="n">
        <x:f>S23+R24</x:f>
        <x:v>26289931.38424115</x:v>
      </x:c>
      <x:c r="T24" s="7" t="n">
        <x:f>IF(S24&gt;=0,A24,999)</x:f>
        <x:v>18</x:v>
      </x:c>
      <x:c r="U24" s="22" t="n">
        <x:f>'Допущения'!C31*'Допущения'!$B$8*B24*'Допущения'!$B$17/'Допущения'!$B$18/'Допущения'!$B$16</x:f>
        <x:v>70.62557781201848</x:v>
      </x:c>
      <x:c r="V24" s="7"/>
      <x:c r="W24" s="7"/>
    </x:row>
    <x:row r="25" ht="23" customHeight="1">
      <x:c r="A25" s="1" t="n">
        <x:v>19</x:v>
      </x:c>
      <x:c r="B25" s="17" t="n">
        <x:f>'Допущения'!C48*'Допущения'!D53</x:f>
        <x:v>0.7627118644067796</x:v>
      </x:c>
      <x:c r="C25" s="9" t="n">
        <x:f>'Допущения'!C31*'Допущения'!$B$8*'Допущения'!D31*$B25*(1+'Допущения'!$B$13)^1</x:f>
        <x:v>9259315.93220339</x:v>
      </x:c>
      <x:c r="D25" s="9" t="n">
        <x:f>'Допущения'!C32*'Допущения'!$B$8*'Допущения'!D32*$B25*(1+'Допущения'!$B$13)^1</x:f>
        <x:v>1607520.1271186438</x:v>
      </x:c>
      <x:c r="E25" s="9" t="n">
        <x:f>'Допущения'!C33*'Допущения'!$B$8*'Допущения'!D33*$B25*(1+'Допущения'!$B$13)^1</x:f>
        <x:v>1967604.6355932204</x:v>
      </x:c>
      <x:c r="F25" s="9" t="n">
        <x:f>'Допущения'!C34*'Допущения'!$B$8*'Допущения'!D34*$B25*(1+'Допущения'!$B$13)^1</x:f>
        <x:v>2572032.2033898304</x:v>
      </x:c>
      <x:c r="G25" s="9" t="n">
        <x:f>'Допущения'!C35*'Допущения'!$B$8*'Допущения'!D35*$B25*(1+'Допущения'!$B$13)^1</x:f>
        <x:v>4012370.2372881356</x:v>
      </x:c>
      <x:c r="H25" s="9" t="n">
        <x:f>'Допущения'!C36*'Допущения'!$B$8*'Допущения'!D36*$B25*(1+'Допущения'!$B$13)^1</x:f>
        <x:v>462965.79661016946</x:v>
      </x:c>
      <x:c r="I25" s="9" t="n">
        <x:f>'Допущения'!C37*'Допущения'!$B$8*'Допущения'!D37*$B25*(1+'Допущения'!$B$13)^1</x:f>
        <x:v>321504.0254237288</x:v>
      </x:c>
      <x:c r="J25" s="7" t="n">
        <x:f>SUM(C25:I25)</x:f>
        <x:v>20203312.957627118</x:v>
      </x:c>
      <x:c r="K25" s="9" t="n">
        <x:f>J25/(1+'Допущения'!$B$9)</x:f>
        <x:v>18881600.894978613</x:v>
      </x:c>
      <x:c r="L25" s="9" t="n">
        <x:f>C25/(1+'Допущения'!$B$9)*'Допущения'!E31+'Допущения'!C31*'Допущения'!$B$8*$B25*'Допущения'!F31*(1+'Допущения'!$B$14)^1+D25/(1+'Допущения'!$B$9)*'Допущения'!E32+'Допущения'!C32*'Допущения'!$B$8*$B25*'Допущения'!F32*(1+'Допущения'!$B$14)^1+E25/(1+'Допущения'!$B$9)*'Допущения'!E33+'Допущения'!C33*'Допущения'!$B$8*$B25*'Допущения'!F33*(1+'Допущения'!$B$14)^1+F25/(1+'Допущения'!$B$9)*'Допущения'!E34+'Допущения'!C34*'Допущения'!$B$8*$B25*'Допущения'!F34*(1+'Допущения'!$B$14)^1+G25/(1+'Допущения'!$B$9)*'Допущения'!E35+'Допущения'!C35*'Допущения'!$B$8*$B25*'Допущения'!F35*(1+'Допущения'!$B$14)^1+H25/(1+'Допущения'!$B$9)*'Допущения'!E36+'Допущения'!C36*'Допущения'!$B$8*$B25*'Допущения'!F36*(1+'Допущения'!$B$14)^1+I25/(1+'Допущения'!$B$9)*'Допущения'!E37+'Допущения'!C37*'Допущения'!$B$8*$B25*'Допущения'!F37*(1+'Допущения'!$B$14)^1</x:f>
        <x:v>2724718.172817995</x:v>
      </x:c>
      <x:c r="M25" s="9" t="n">
        <x:f>J25*'Допущения'!$B$11</x:f>
        <x:v>404066.25915254233</x:v>
      </x:c>
      <x:c r="N25" s="9" t="n">
        <x:f>'Инвестиции'!$C$35*(1+'Допущения'!$B$14)^1</x:f>
        <x:v>6772161.9968625</x:v>
      </x:c>
      <x:c r="O25" s="9" t="n">
        <x:f>K25*'Допущения'!$B$10</x:f>
        <x:v>1132896.0536987167</x:v>
      </x:c>
      <x:c r="P25" s="9" t="n">
        <x:f>K25*'Допущения'!$B$12</x:f>
        <x:v>377632.01789957227</x:v>
      </x:c>
      <x:c r="Q25" s="7" t="n">
        <x:f>K25-L25-M25-N25</x:f>
        <x:v>8980654.466145575</x:v>
      </x:c>
      <x:c r="R25" s="7" t="n">
        <x:f>Q25-O25-P25</x:f>
        <x:v>7470126.394547286</x:v>
      </x:c>
      <x:c r="S25" s="7" t="n">
        <x:f>S24+R25</x:f>
        <x:v>33760057.77878843</x:v>
      </x:c>
      <x:c r="T25" s="7" t="n">
        <x:f>IF(S25&gt;=0,A25,999)</x:f>
        <x:v>19</x:v>
      </x:c>
      <x:c r="U25" s="22" t="n">
        <x:f>'Допущения'!C31*'Допущения'!$B$8*B25*'Допущения'!$B$17/'Допущения'!$B$18/'Допущения'!$B$16</x:f>
        <x:v>75.67026194144837</x:v>
      </x:c>
      <x:c r="V25" s="7"/>
      <x:c r="W25" s="7"/>
    </x:row>
    <x:row r="26" ht="23" customHeight="1">
      <x:c r="A26" s="1" t="n">
        <x:v>20</x:v>
      </x:c>
      <x:c r="B26" s="17" t="n">
        <x:f>'Допущения'!C49*'Допущения'!D53</x:f>
        <x:v>0.8135593220338982</x:v>
      </x:c>
      <x:c r="C26" s="9" t="n">
        <x:f>'Допущения'!C31*'Допущения'!$B$8*'Допущения'!D31*$B26*(1+'Допущения'!$B$13)^1</x:f>
        <x:v>9876603.661016949</x:v>
      </x:c>
      <x:c r="D26" s="9" t="n">
        <x:f>'Допущения'!C32*'Допущения'!$B$8*'Допущения'!D32*$B26*(1+'Допущения'!$B$13)^1</x:f>
        <x:v>1714688.1355932201</x:v>
      </x:c>
      <x:c r="E26" s="9" t="n">
        <x:f>'Допущения'!C33*'Допущения'!$B$8*'Допущения'!D33*$B26*(1+'Допущения'!$B$13)^1</x:f>
        <x:v>2098778.2779661017</x:v>
      </x:c>
      <x:c r="F26" s="9" t="n">
        <x:f>'Допущения'!C34*'Допущения'!$B$8*'Допущения'!D34*$B26*(1+'Допущения'!$B$13)^1</x:f>
        <x:v>2743501.0169491526</x:v>
      </x:c>
      <x:c r="G26" s="9" t="n">
        <x:f>'Допущения'!C35*'Допущения'!$B$8*'Допущения'!D35*$B26*(1+'Допущения'!$B$13)^1</x:f>
        <x:v>4279861.586440678</x:v>
      </x:c>
      <x:c r="H26" s="9" t="n">
        <x:f>'Допущения'!C36*'Допущения'!$B$8*'Допущения'!D36*$B26*(1+'Допущения'!$B$13)^1</x:f>
        <x:v>493830.1830508474</x:v>
      </x:c>
      <x:c r="I26" s="9" t="n">
        <x:f>'Допущения'!C37*'Допущения'!$B$8*'Допущения'!D37*$B26*(1+'Допущения'!$B$13)^1</x:f>
        <x:v>342937.6271186441</x:v>
      </x:c>
      <x:c r="J26" s="7" t="n">
        <x:f>SUM(C26:I26)</x:f>
        <x:v>21550200.48813559</x:v>
      </x:c>
      <x:c r="K26" s="9" t="n">
        <x:f>J26/(1+'Допущения'!$B$9)</x:f>
        <x:v>20140374.287977185</x:v>
      </x:c>
      <x:c r="L26" s="9" t="n">
        <x:f>C26/(1+'Допущения'!$B$9)*'Допущения'!E31+'Допущения'!C31*'Допущения'!$B$8*$B26*'Допущения'!F31*(1+'Допущения'!$B$14)^1+D26/(1+'Допущения'!$B$9)*'Допущения'!E32+'Допущения'!C32*'Допущения'!$B$8*$B26*'Допущения'!F32*(1+'Допущения'!$B$14)^1+E26/(1+'Допущения'!$B$9)*'Допущения'!E33+'Допущения'!C33*'Допущения'!$B$8*$B26*'Допущения'!F33*(1+'Допущения'!$B$14)^1+F26/(1+'Допущения'!$B$9)*'Допущения'!E34+'Допущения'!C34*'Допущения'!$B$8*$B26*'Допущения'!F34*(1+'Допущения'!$B$14)^1+G26/(1+'Допущения'!$B$9)*'Допущения'!E35+'Допущения'!C35*'Допущения'!$B$8*$B26*'Допущения'!F35*(1+'Допущения'!$B$14)^1+H26/(1+'Допущения'!$B$9)*'Допущения'!E36+'Допущения'!C36*'Допущения'!$B$8*$B26*'Допущения'!F36*(1+'Допущения'!$B$14)^1+I26/(1+'Допущения'!$B$9)*'Допущения'!E37+'Допущения'!C37*'Допущения'!$B$8*$B26*'Допущения'!F37*(1+'Допущения'!$B$14)^1</x:f>
        <x:v>2906366.0510058613</x:v>
      </x:c>
      <x:c r="M26" s="9" t="n">
        <x:f>J26*'Допущения'!$B$11</x:f>
        <x:v>431004.0097627118</x:v>
      </x:c>
      <x:c r="N26" s="9" t="n">
        <x:f>'Инвестиции'!$C$35*(1+'Допущения'!$B$14)^1</x:f>
        <x:v>6772161.9968625</x:v>
      </x:c>
      <x:c r="O26" s="9" t="n">
        <x:f>K26*'Допущения'!$B$10</x:f>
        <x:v>1208422.4572786312</x:v>
      </x:c>
      <x:c r="P26" s="9" t="n">
        <x:f>K26*'Допущения'!$B$12</x:f>
        <x:v>402807.4857595437</x:v>
      </x:c>
      <x:c r="Q26" s="7" t="n">
        <x:f>K26-L26-M26-N26</x:f>
        <x:v>10030842.23034611</x:v>
      </x:c>
      <x:c r="R26" s="7" t="n">
        <x:f>Q26-O26-P26</x:f>
        <x:v>8419612.287307935</x:v>
      </x:c>
      <x:c r="S26" s="7" t="n">
        <x:f>S25+R26</x:f>
        <x:v>42179670.066096365</x:v>
      </x:c>
      <x:c r="T26" s="7" t="n">
        <x:f>IF(S26&gt;=0,A26,999)</x:f>
        <x:v>20</x:v>
      </x:c>
      <x:c r="U26" s="22" t="n">
        <x:f>'Допущения'!C31*'Допущения'!$B$8*B26*'Допущения'!$B$17/'Допущения'!$B$18/'Допущения'!$B$16</x:f>
        <x:v>80.71494607087827</x:v>
      </x:c>
      <x:c r="V26" s="7"/>
      <x:c r="W26" s="7"/>
    </x:row>
    <x:row r="27" ht="23" customHeight="1">
      <x:c r="A27" s="1" t="n">
        <x:v>21</x:v>
      </x:c>
      <x:c r="B27" s="17" t="n">
        <x:f>'Допущения'!C50*'Допущения'!D53</x:f>
        <x:v>1.0677966101694916</x:v>
      </x:c>
      <x:c r="C27" s="9" t="n">
        <x:f>'Допущения'!C31*'Допущения'!$B$8*'Допущения'!D31*$B27*(1+'Допущения'!$B$13)^1</x:f>
        <x:v>12963042.305084746</x:v>
      </x:c>
      <x:c r="D27" s="9" t="n">
        <x:f>'Допущения'!C32*'Допущения'!$B$8*'Допущения'!D32*$B27*(1+'Допущения'!$B$13)^1</x:f>
        <x:v>2250528.177966102</x:v>
      </x:c>
      <x:c r="E27" s="9" t="n">
        <x:f>'Допущения'!C33*'Допущения'!$B$8*'Допущения'!D33*$B27*(1+'Допущения'!$B$13)^1</x:f>
        <x:v>2754646.489830509</x:v>
      </x:c>
      <x:c r="F27" s="9" t="n">
        <x:f>'Допущения'!C34*'Допущения'!$B$8*'Допущения'!D34*$B27*(1+'Допущения'!$B$13)^1</x:f>
        <x:v>3600845.084745763</x:v>
      </x:c>
      <x:c r="G27" s="9" t="n">
        <x:f>'Допущения'!C35*'Допущения'!$B$8*'Допущения'!D35*$B27*(1+'Допущения'!$B$13)^1</x:f>
        <x:v>5617318.33220339</x:v>
      </x:c>
      <x:c r="H27" s="9" t="n">
        <x:f>'Допущения'!C36*'Допущения'!$B$8*'Допущения'!D36*$B27*(1+'Допущения'!$B$13)^1</x:f>
        <x:v>648152.1152542373</x:v>
      </x:c>
      <x:c r="I27" s="9" t="n">
        <x:f>'Допущения'!C37*'Допущения'!$B$8*'Допущения'!D37*$B27*(1+'Допущения'!$B$13)^1</x:f>
        <x:v>450105.63559322036</x:v>
      </x:c>
      <x:c r="J27" s="7" t="n">
        <x:f>SUM(C27:I27)</x:f>
        <x:v>28284638.140677966</x:v>
      </x:c>
      <x:c r="K27" s="9" t="n">
        <x:f>J27/(1+'Допущения'!$B$9)</x:f>
        <x:v>26434241.25297006</x:v>
      </x:c>
      <x:c r="L27" s="9" t="n">
        <x:f>C27/(1+'Допущения'!$B$9)*'Допущения'!E31+'Допущения'!C31*'Допущения'!$B$8*$B27*'Допущения'!F31*(1+'Допущения'!$B$14)^1+D27/(1+'Допущения'!$B$9)*'Допущения'!E32+'Допущения'!C32*'Допущения'!$B$8*$B27*'Допущения'!F32*(1+'Допущения'!$B$14)^1+E27/(1+'Допущения'!$B$9)*'Допущения'!E33+'Допущения'!C33*'Допущения'!$B$8*$B27*'Допущения'!F33*(1+'Допущения'!$B$14)^1+F27/(1+'Допущения'!$B$9)*'Допущения'!E34+'Допущения'!C34*'Допущения'!$B$8*$B27*'Допущения'!F34*(1+'Допущения'!$B$14)^1+G27/(1+'Допущения'!$B$9)*'Допущения'!E35+'Допущения'!C35*'Допущения'!$B$8*$B27*'Допущения'!F35*(1+'Допущения'!$B$14)^1+H27/(1+'Допущения'!$B$9)*'Допущения'!E36+'Допущения'!C36*'Допущения'!$B$8*$B27*'Допущения'!F36*(1+'Допущения'!$B$14)^1+I27/(1+'Допущения'!$B$9)*'Допущения'!E37+'Допущения'!C37*'Допущения'!$B$8*$B27*'Допущения'!F37*(1+'Допущения'!$B$14)^1</x:f>
        <x:v>3814605.441945192</x:v>
      </x:c>
      <x:c r="M27" s="9" t="n">
        <x:f>J27*'Допущения'!$B$11</x:f>
        <x:v>565692.7628135594</x:v>
      </x:c>
      <x:c r="N27" s="9" t="n">
        <x:f>'Инвестиции'!$C$35*(1+'Допущения'!$B$14)^1</x:f>
        <x:v>6772161.9968625</x:v>
      </x:c>
      <x:c r="O27" s="9" t="n">
        <x:f>K27*'Допущения'!$B$10</x:f>
        <x:v>1586054.4751782035</x:v>
      </x:c>
      <x:c r="P27" s="9" t="n">
        <x:f>K27*'Допущения'!$B$12</x:f>
        <x:v>528684.8250594012</x:v>
      </x:c>
      <x:c r="Q27" s="7" t="n">
        <x:f>K27-L27-M27-N27</x:f>
        <x:v>15281781.051348805</x:v>
      </x:c>
      <x:c r="R27" s="7" t="n">
        <x:f>Q27-O27-P27</x:f>
        <x:v>13167041.7511112</x:v>
      </x:c>
      <x:c r="S27" s="7" t="n">
        <x:f>S26+R27</x:f>
        <x:v>55346711.81720757</x:v>
      </x:c>
      <x:c r="T27" s="7" t="n">
        <x:f>IF(S27&gt;=0,A27,999)</x:f>
        <x:v>21</x:v>
      </x:c>
      <x:c r="U27" s="22" t="n">
        <x:f>'Допущения'!C31*'Допущения'!$B$8*B27*'Допущения'!$B$17/'Допущения'!$B$18/'Допущения'!$B$16</x:f>
        <x:v>105.93836671802774</x:v>
      </x:c>
      <x:c r="V27" s="7"/>
      <x:c r="W27" s="7"/>
    </x:row>
    <x:row r="28" ht="23" customHeight="1">
      <x:c r="A28" s="1" t="n">
        <x:v>22</x:v>
      </x:c>
      <x:c r="B28" s="17" t="n">
        <x:f>'Допущения'!C51*'Допущения'!D53</x:f>
        <x:v>1.1694915254237286</x:v>
      </x:c>
      <x:c r="C28" s="9" t="n">
        <x:f>'Допущения'!C31*'Допущения'!$B$8*'Допущения'!D31*$B28*(1+'Допущения'!$B$13)^1</x:f>
        <x:v>14197617.762711862</x:v>
      </x:c>
      <x:c r="D28" s="9" t="n">
        <x:f>'Допущения'!C32*'Допущения'!$B$8*'Допущения'!D32*$B28*(1+'Допущения'!$B$13)^1</x:f>
        <x:v>2464864.1949152537</x:v>
      </x:c>
      <x:c r="E28" s="9" t="n">
        <x:f>'Допущения'!C33*'Допущения'!$B$8*'Допущения'!D33*$B28*(1+'Допущения'!$B$13)^1</x:f>
        <x:v>3016993.7745762705</x:v>
      </x:c>
      <x:c r="F28" s="9" t="n">
        <x:f>'Допущения'!C34*'Допущения'!$B$8*'Допущения'!D34*$B28*(1+'Допущения'!$B$13)^1</x:f>
        <x:v>3943782.711864406</x:v>
      </x:c>
      <x:c r="G28" s="9" t="n">
        <x:f>'Допущения'!C35*'Допущения'!$B$8*'Допущения'!D35*$B28*(1+'Допущения'!$B$13)^1</x:f>
        <x:v>6152301.0305084735</x:v>
      </x:c>
      <x:c r="H28" s="9" t="n">
        <x:f>'Допущения'!C36*'Допущения'!$B$8*'Допущения'!D36*$B28*(1+'Допущения'!$B$13)^1</x:f>
        <x:v>709880.8881355932</x:v>
      </x:c>
      <x:c r="I28" s="9" t="n">
        <x:f>'Допущения'!C37*'Допущения'!$B$8*'Допущения'!D37*$B28*(1+'Допущения'!$B$13)^1</x:f>
        <x:v>492972.8389830507</x:v>
      </x:c>
      <x:c r="J28" s="7" t="n">
        <x:f>SUM(C28:I28)</x:f>
        <x:v>30978413.20169491</x:v>
      </x:c>
      <x:c r="K28" s="9" t="n">
        <x:f>J28/(1+'Допущения'!$B$9)</x:f>
        <x:v>28951788.038967203</x:v>
      </x:c>
      <x:c r="L28" s="9" t="n">
        <x:f>C28/(1+'Допущения'!$B$9)*'Допущения'!E31+'Допущения'!C31*'Допущения'!$B$8*$B28*'Допущения'!F31*(1+'Допущения'!$B$14)^1+D28/(1+'Допущения'!$B$9)*'Допущения'!E32+'Допущения'!C32*'Допущения'!$B$8*$B28*'Допущения'!F32*(1+'Допущения'!$B$14)^1+E28/(1+'Допущения'!$B$9)*'Допущения'!E33+'Допущения'!C33*'Допущения'!$B$8*$B28*'Допущения'!F33*(1+'Допущения'!$B$14)^1+F28/(1+'Допущения'!$B$9)*'Допущения'!E34+'Допущения'!C34*'Допущения'!$B$8*$B28*'Допущения'!F34*(1+'Допущения'!$B$14)^1+G28/(1+'Допущения'!$B$9)*'Допущения'!E35+'Допущения'!C35*'Допущения'!$B$8*$B28*'Допущения'!F35*(1+'Допущения'!$B$14)^1+H28/(1+'Допущения'!$B$9)*'Допущения'!E36+'Допущения'!C36*'Допущения'!$B$8*$B28*'Допущения'!F36*(1+'Допущения'!$B$14)^1+I28/(1+'Допущения'!$B$9)*'Допущения'!E37+'Допущения'!C37*'Допущения'!$B$8*$B28*'Допущения'!F37*(1+'Допущения'!$B$14)^1</x:f>
        <x:v>4177901.1983209243</x:v>
      </x:c>
      <x:c r="M28" s="9" t="n">
        <x:f>J28*'Допущения'!$B$11</x:f>
        <x:v>619568.2640338982</x:v>
      </x:c>
      <x:c r="N28" s="9" t="n">
        <x:f>'Инвестиции'!$C$35*(1+'Допущения'!$B$14)^1</x:f>
        <x:v>6772161.9968625</x:v>
      </x:c>
      <x:c r="O28" s="9" t="n">
        <x:f>K28*'Допущения'!$B$10</x:f>
        <x:v>1737107.282338032</x:v>
      </x:c>
      <x:c r="P28" s="9" t="n">
        <x:f>K28*'Допущения'!$B$12</x:f>
        <x:v>579035.7607793441</x:v>
      </x:c>
      <x:c r="Q28" s="7" t="n">
        <x:f>K28-L28-M28-N28</x:f>
        <x:v>17382156.57974988</x:v>
      </x:c>
      <x:c r="R28" s="7" t="n">
        <x:f>Q28-O28-P28</x:f>
        <x:v>15066013.536632502</x:v>
      </x:c>
      <x:c r="S28" s="7" t="n">
        <x:f>S27+R28</x:f>
        <x:v>70412725.35384007</x:v>
      </x:c>
      <x:c r="T28" s="7" t="n">
        <x:f>IF(S28&gt;=0,A28,999)</x:f>
        <x:v>22</x:v>
      </x:c>
      <x:c r="U28" s="22" t="n">
        <x:f>'Допущения'!C31*'Допущения'!$B$8*B28*'Допущения'!$B$17/'Допущения'!$B$18/'Допущения'!$B$16</x:f>
        <x:v>116.0277349768875</x:v>
      </x:c>
      <x:c r="V28" s="7"/>
      <x:c r="W28" s="7"/>
    </x:row>
    <x:row r="29" ht="23" customHeight="1">
      <x:c r="A29" s="1" t="n">
        <x:v>23</x:v>
      </x:c>
      <x:c r="B29" s="17" t="n">
        <x:f>'Допущения'!C52*'Допущения'!D53</x:f>
        <x:v>1.2203389830508473</x:v>
      </x:c>
      <x:c r="C29" s="9" t="n">
        <x:f>'Допущения'!C31*'Допущения'!$B$8*'Допущения'!D31*$B29*(1+'Допущения'!$B$13)^1</x:f>
        <x:v>14814905.491525423</x:v>
      </x:c>
      <x:c r="D29" s="9" t="n">
        <x:f>'Допущения'!C32*'Допущения'!$B$8*'Допущения'!D32*$B29*(1+'Допущения'!$B$13)^1</x:f>
        <x:v>2572032.2033898304</x:v>
      </x:c>
      <x:c r="E29" s="9" t="n">
        <x:f>'Допущения'!C33*'Допущения'!$B$8*'Допущения'!D33*$B29*(1+'Допущения'!$B$13)^1</x:f>
        <x:v>3148167.416949152</x:v>
      </x:c>
      <x:c r="F29" s="9" t="n">
        <x:f>'Допущения'!C34*'Допущения'!$B$8*'Допущения'!D34*$B29*(1+'Допущения'!$B$13)^1</x:f>
        <x:v>4115251.5254237284</x:v>
      </x:c>
      <x:c r="G29" s="9" t="n">
        <x:f>'Допущения'!C35*'Допущения'!$B$8*'Допущения'!D35*$B29*(1+'Допущения'!$B$13)^1</x:f>
        <x:v>6419792.379661016</x:v>
      </x:c>
      <x:c r="H29" s="9" t="n">
        <x:f>'Допущения'!C36*'Допущения'!$B$8*'Допущения'!D36*$B29*(1+'Допущения'!$B$13)^1</x:f>
        <x:v>740745.2745762712</x:v>
      </x:c>
      <x:c r="I29" s="9" t="n">
        <x:f>'Допущения'!C37*'Допущения'!$B$8*'Допущения'!D37*$B29*(1+'Допущения'!$B$13)^1</x:f>
        <x:v>514406.44067796605</x:v>
      </x:c>
      <x:c r="J29" s="7" t="n">
        <x:f>SUM(C29:I29)</x:f>
        <x:v>32325300.73220339</x:v>
      </x:c>
      <x:c r="K29" s="9" t="n">
        <x:f>J29/(1+'Допущения'!$B$9)</x:f>
        <x:v>30210561.431965783</x:v>
      </x:c>
      <x:c r="L29" s="9" t="n">
        <x:f>C29/(1+'Допущения'!$B$9)*'Допущения'!E31+'Допущения'!C31*'Допущения'!$B$8*$B29*'Допущения'!F31*(1+'Допущения'!$B$14)^1+D29/(1+'Допущения'!$B$9)*'Допущения'!E32+'Допущения'!C32*'Допущения'!$B$8*$B29*'Допущения'!F32*(1+'Допущения'!$B$14)^1+E29/(1+'Допущения'!$B$9)*'Допущения'!E33+'Допущения'!C33*'Допущения'!$B$8*$B29*'Допущения'!F33*(1+'Допущения'!$B$14)^1+F29/(1+'Допущения'!$B$9)*'Допущения'!E34+'Допущения'!C34*'Допущения'!$B$8*$B29*'Допущения'!F34*(1+'Допущения'!$B$14)^1+G29/(1+'Допущения'!$B$9)*'Допущения'!E35+'Допущения'!C35*'Допущения'!$B$8*$B29*'Допущения'!F35*(1+'Допущения'!$B$14)^1+H29/(1+'Допущения'!$B$9)*'Допущения'!E36+'Допущения'!C36*'Допущения'!$B$8*$B29*'Допущения'!F36*(1+'Допущения'!$B$14)^1+I29/(1+'Допущения'!$B$9)*'Допущения'!E37+'Допущения'!C37*'Допущения'!$B$8*$B29*'Допущения'!F37*(1+'Допущения'!$B$14)^1</x:f>
        <x:v>4359549.07650879</x:v>
      </x:c>
      <x:c r="M29" s="9" t="n">
        <x:f>J29*'Допущения'!$B$11</x:f>
        <x:v>646506.0146440679</x:v>
      </x:c>
      <x:c r="N29" s="9" t="n">
        <x:f>'Инвестиции'!$C$35*(1+'Допущения'!$B$14)^1</x:f>
        <x:v>6772161.9968625</x:v>
      </x:c>
      <x:c r="O29" s="9" t="n">
        <x:f>K29*'Допущения'!$B$10</x:f>
        <x:v>1812633.685917947</x:v>
      </x:c>
      <x:c r="P29" s="9" t="n">
        <x:f>K29*'Допущения'!$B$12</x:f>
        <x:v>604211.2286393157</x:v>
      </x:c>
      <x:c r="Q29" s="7" t="n">
        <x:f>K29-L29-M29-N29</x:f>
        <x:v>18432344.343950424</x:v>
      </x:c>
      <x:c r="R29" s="7" t="n">
        <x:f>Q29-O29-P29</x:f>
        <x:v>16015499.429393161</x:v>
      </x:c>
      <x:c r="S29" s="7" t="n">
        <x:f>S28+R29</x:f>
        <x:v>86428224.78323323</x:v>
      </x:c>
      <x:c r="T29" s="7" t="n">
        <x:f>IF(S29&gt;=0,A29,999)</x:f>
        <x:v>23</x:v>
      </x:c>
      <x:c r="U29" s="22" t="n">
        <x:f>'Допущения'!C31*'Допущения'!$B$8*B29*'Допущения'!$B$17/'Допущения'!$B$18/'Допущения'!$B$16</x:f>
        <x:v>121.07241910631738</x:v>
      </x:c>
      <x:c r="V29" s="7"/>
      <x:c r="W29" s="7"/>
    </x:row>
    <x:row r="30" ht="23" customHeight="1">
      <x:c r="A30" s="1" t="n">
        <x:v>24</x:v>
      </x:c>
      <x:c r="B30" s="17" t="n">
        <x:f>'Допущения'!C53*'Допущения'!D53</x:f>
        <x:v>1.271186440677966</x:v>
      </x:c>
      <x:c r="C30" s="9" t="n">
        <x:f>'Допущения'!C31*'Допущения'!$B$8*'Допущения'!D31*$B30*(1+'Допущения'!$B$13)^1</x:f>
        <x:v>15432193.220338983</x:v>
      </x:c>
      <x:c r="D30" s="9" t="n">
        <x:f>'Допущения'!C32*'Допущения'!$B$8*'Допущения'!D32*$B30*(1+'Допущения'!$B$13)^1</x:f>
        <x:v>2679200.2118644067</x:v>
      </x:c>
      <x:c r="E30" s="9" t="n">
        <x:f>'Допущения'!C33*'Допущения'!$B$8*'Допущения'!D33*$B30*(1+'Допущения'!$B$13)^1</x:f>
        <x:v>3279341.059322034</x:v>
      </x:c>
      <x:c r="F30" s="9" t="n">
        <x:f>'Допущения'!C34*'Допущения'!$B$8*'Допущения'!D34*$B30*(1+'Допущения'!$B$13)^1</x:f>
        <x:v>4286720.338983051</x:v>
      </x:c>
      <x:c r="G30" s="9" t="n">
        <x:f>'Допущения'!C35*'Допущения'!$B$8*'Допущения'!D35*$B30*(1+'Допущения'!$B$13)^1</x:f>
        <x:v>6687283.72881356</x:v>
      </x:c>
      <x:c r="H30" s="9" t="n">
        <x:f>'Допущения'!C36*'Допущения'!$B$8*'Допущения'!D36*$B30*(1+'Допущения'!$B$13)^1</x:f>
        <x:v>771609.6610169491</x:v>
      </x:c>
      <x:c r="I30" s="9" t="n">
        <x:f>'Допущения'!C37*'Допущения'!$B$8*'Допущения'!D37*$B30*(1+'Допущения'!$B$13)^1</x:f>
        <x:v>535840.0423728813</x:v>
      </x:c>
      <x:c r="J30" s="7" t="n">
        <x:f>SUM(C30:I30)</x:f>
        <x:v>33672188.26271186</x:v>
      </x:c>
      <x:c r="K30" s="9" t="n">
        <x:f>J30/(1+'Допущения'!$B$9)</x:f>
        <x:v>31469334.824964352</x:v>
      </x:c>
      <x:c r="L30" s="9" t="n">
        <x:f>C30/(1+'Допущения'!$B$9)*'Допущения'!E31+'Допущения'!C31*'Допущения'!$B$8*$B30*'Допущения'!F31*(1+'Допущения'!$B$14)^1+D30/(1+'Допущения'!$B$9)*'Допущения'!E32+'Допущения'!C32*'Допущения'!$B$8*$B30*'Допущения'!F32*(1+'Допущения'!$B$14)^1+E30/(1+'Допущения'!$B$9)*'Допущения'!E33+'Допущения'!C33*'Допущения'!$B$8*$B30*'Допущения'!F33*(1+'Допущения'!$B$14)^1+F30/(1+'Допущения'!$B$9)*'Допущения'!E34+'Допущения'!C34*'Допущения'!$B$8*$B30*'Допущения'!F34*(1+'Допущения'!$B$14)^1+G30/(1+'Допущения'!$B$9)*'Допущения'!E35+'Допущения'!C35*'Допущения'!$B$8*$B30*'Допущения'!F35*(1+'Допущения'!$B$14)^1+H30/(1+'Допущения'!$B$9)*'Допущения'!E36+'Допущения'!C36*'Допущения'!$B$8*$B30*'Допущения'!F36*(1+'Допущения'!$B$14)^1+I30/(1+'Допущения'!$B$9)*'Допущения'!E37+'Допущения'!C37*'Допущения'!$B$8*$B30*'Допущения'!F37*(1+'Допущения'!$B$14)^1</x:f>
        <x:v>4541196.954696657</x:v>
      </x:c>
      <x:c r="M30" s="9" t="n">
        <x:f>J30*'Допущения'!$B$11</x:f>
        <x:v>673443.7652542372</x:v>
      </x:c>
      <x:c r="N30" s="9" t="n">
        <x:f>'Инвестиции'!$C$35*(1+'Допущения'!$B$14)^1</x:f>
        <x:v>6772161.9968625</x:v>
      </x:c>
      <x:c r="O30" s="9" t="n">
        <x:f>K30*'Допущения'!$B$10</x:f>
        <x:v>1888160.089497861</x:v>
      </x:c>
      <x:c r="P30" s="9" t="n">
        <x:f>K30*'Допущения'!$B$12</x:f>
        <x:v>629386.696499287</x:v>
      </x:c>
      <x:c r="Q30" s="7" t="n">
        <x:f>K30-L30-M30-N30</x:f>
        <x:v>19482532.10815096</x:v>
      </x:c>
      <x:c r="R30" s="7" t="n">
        <x:f>Q30-O30-P30</x:f>
        <x:v>16964985.32215381</x:v>
      </x:c>
      <x:c r="S30" s="7" t="n">
        <x:f>S29+R30</x:f>
        <x:v>103393210.10538703</x:v>
      </x:c>
      <x:c r="T30" s="7" t="n">
        <x:f>IF(S30&gt;=0,A30,999)</x:f>
        <x:v>24</x:v>
      </x:c>
      <x:c r="U30" s="22" t="n">
        <x:f>'Допущения'!C31*'Допущения'!$B$8*B30*'Допущения'!$B$17/'Допущения'!$B$18/'Допущения'!$B$16</x:f>
        <x:v>126.11710323574727</x:v>
      </x:c>
      <x:c r="V30" s="7"/>
      <x:c r="W30" s="7"/>
    </x:row>
    <x:row r="31" ht="23" customHeight="1">
      <x:c r="A31" s="1" t="n">
        <x:v>25</x:v>
      </x:c>
      <x:c r="B31" s="17" t="n">
        <x:f>'Допущения'!C42*'Допущения'!D53</x:f>
        <x:v>1.1186440677966103</x:v>
      </x:c>
      <x:c r="C31" s="9" t="n">
        <x:f>'Допущения'!C31*'Допущения'!$B$8*'Допущения'!D31*$B31*(1+'Допущения'!$B$13)^2</x:f>
        <x:v>13987739.934915254</x:v>
      </x:c>
      <x:c r="D31" s="9" t="n">
        <x:f>'Допущения'!C32*'Допущения'!$B$8*'Допущения'!D32*$B31*(1+'Допущения'!$B$13)^2</x:f>
        <x:v>2428427.0720338984</x:v>
      </x:c>
      <x:c r="E31" s="9" t="n">
        <x:f>'Допущения'!C33*'Допущения'!$B$8*'Допущения'!D33*$B31*(1+'Допущения'!$B$13)^2</x:f>
        <x:v>2972394.7361694914</x:v>
      </x:c>
      <x:c r="F31" s="9" t="n">
        <x:f>'Допущения'!C34*'Допущения'!$B$8*'Допущения'!D34*$B31*(1+'Допущения'!$B$13)^2</x:f>
        <x:v>3885483.3152542375</x:v>
      </x:c>
      <x:c r="G31" s="9" t="n">
        <x:f>'Допущения'!C35*'Допущения'!$B$8*'Допущения'!D35*$B31*(1+'Допущения'!$B$13)^2</x:f>
        <x:v>6061353.97179661</x:v>
      </x:c>
      <x:c r="H31" s="9" t="n">
        <x:f>'Допущения'!C36*'Допущения'!$B$8*'Допущения'!D36*$B31*(1+'Допущения'!$B$13)^2</x:f>
        <x:v>699386.9967457626</x:v>
      </x:c>
      <x:c r="I31" s="9" t="n">
        <x:f>'Допущения'!C37*'Допущения'!$B$8*'Допущения'!D37*$B31*(1+'Допущения'!$B$13)^2</x:f>
        <x:v>485685.4144067797</x:v>
      </x:c>
      <x:c r="J31" s="7" t="n">
        <x:f>SUM(C31:I31)</x:f>
        <x:v>30520471.441322032</x:v>
      </x:c>
      <x:c r="K31" s="9" t="n">
        <x:f>J31/(1+'Допущения'!$B$9)</x:f>
        <x:v>28523805.085347693</x:v>
      </x:c>
      <x:c r="L31" s="9" t="n">
        <x:f>C31/(1+'Допущения'!$B$9)*'Допущения'!E31+'Допущения'!C31*'Допущения'!$B$8*$B31*'Допущения'!F31*(1+'Допущения'!$B$14)^2+D31/(1+'Допущения'!$B$9)*'Допущения'!E32+'Допущения'!C32*'Допущения'!$B$8*$B31*'Допущения'!F32*(1+'Допущения'!$B$14)^2+E31/(1+'Допущения'!$B$9)*'Допущения'!E33+'Допущения'!C33*'Допущения'!$B$8*$B31*'Допущения'!F33*(1+'Допущения'!$B$14)^2+F31/(1+'Допущения'!$B$9)*'Допущения'!E34+'Допущения'!C34*'Допущения'!$B$8*$B31*'Допущения'!F34*(1+'Допущения'!$B$14)^2+G31/(1+'Допущения'!$B$9)*'Допущения'!E35+'Допущения'!C35*'Допущения'!$B$8*$B31*'Допущения'!F35*(1+'Допущения'!$B$14)^2+H31/(1+'Допущения'!$B$9)*'Допущения'!E36+'Допущения'!C36*'Допущения'!$B$8*$B31*'Допущения'!F36*(1+'Допущения'!$B$14)^2+I31/(1+'Допущения'!$B$9)*'Допущения'!E37+'Допущения'!C37*'Допущения'!$B$8*$B31*'Допущения'!F37*(1+'Допущения'!$B$14)^2</x:f>
        <x:v>4118063.7010929827</x:v>
      </x:c>
      <x:c r="M31" s="9" t="n">
        <x:f>J31*'Допущения'!$B$11</x:f>
        <x:v>610409.4288264407</x:v>
      </x:c>
      <x:c r="N31" s="9" t="n">
        <x:f>'Инвестиции'!$C$35*(1+'Допущения'!$B$14)^2</x:f>
        <x:v>7110770.096705625</x:v>
      </x:c>
      <x:c r="O31" s="9" t="n">
        <x:f>K31*'Допущения'!$B$10</x:f>
        <x:v>1711428.3051208616</x:v>
      </x:c>
      <x:c r="P31" s="9" t="n">
        <x:f>K31*'Допущения'!$B$12</x:f>
        <x:v>570476.1017069538</x:v>
      </x:c>
      <x:c r="Q31" s="7" t="n">
        <x:f>K31-L31-M31-N31</x:f>
        <x:v>16684561.858722644</x:v>
      </x:c>
      <x:c r="R31" s="7" t="n">
        <x:f>Q31-O31-P31</x:f>
        <x:v>14402657.451894829</x:v>
      </x:c>
      <x:c r="S31" s="7" t="n">
        <x:f>S30+R31</x:f>
        <x:v>117795867.55728187</x:v>
      </x:c>
      <x:c r="T31" s="7" t="n">
        <x:f>IF(S31&gt;=0,A31,999)</x:f>
        <x:v>25</x:v>
      </x:c>
      <x:c r="U31" s="22" t="n">
        <x:f>'Допущения'!C31*'Допущения'!$B$8*B31*'Допущения'!$B$17/'Допущения'!$B$18/'Допущения'!$B$16</x:f>
        <x:v>110.98305084745762</x:v>
      </x:c>
      <x:c r="V31" s="7"/>
      <x:c r="W31" s="7"/>
    </x:row>
    <x:row r="32" ht="23" customHeight="1">
      <x:c r="A32" s="1" t="n">
        <x:v>26</x:v>
      </x:c>
      <x:c r="B32" s="17" t="n">
        <x:f>'Допущения'!C43*'Допущения'!D53</x:f>
        <x:v>1.0677966101694916</x:v>
      </x:c>
      <x:c r="C32" s="9" t="n">
        <x:f>'Допущения'!C31*'Допущения'!$B$8*'Допущения'!D31*$B32*(1+'Допущения'!$B$13)^2</x:f>
        <x:v>13351933.574237287</x:v>
      </x:c>
      <x:c r="D32" s="9" t="n">
        <x:f>'Допущения'!C32*'Допущения'!$B$8*'Допущения'!D32*$B32*(1+'Допущения'!$B$13)^2</x:f>
        <x:v>2318044.0233050846</x:v>
      </x:c>
      <x:c r="E32" s="9" t="n">
        <x:f>'Допущения'!C33*'Допущения'!$B$8*'Допущения'!D33*$B32*(1+'Допущения'!$B$13)^2</x:f>
        <x:v>2837285.884525424</x:v>
      </x:c>
      <x:c r="F32" s="9" t="n">
        <x:f>'Допущения'!C34*'Допущения'!$B$8*'Допущения'!D34*$B32*(1+'Допущения'!$B$13)^2</x:f>
        <x:v>3708870.4372881358</x:v>
      </x:c>
      <x:c r="G32" s="9" t="n">
        <x:f>'Допущения'!C35*'Допущения'!$B$8*'Допущения'!D35*$B32*(1+'Допущения'!$B$13)^2</x:f>
        <x:v>5785837.882169492</x:v>
      </x:c>
      <x:c r="H32" s="9" t="n">
        <x:f>'Допущения'!C36*'Допущения'!$B$8*'Допущения'!D36*$B32*(1+'Допущения'!$B$13)^2</x:f>
        <x:v>667596.6787118644</x:v>
      </x:c>
      <x:c r="I32" s="9" t="n">
        <x:f>'Допущения'!C37*'Допущения'!$B$8*'Допущения'!D37*$B32*(1+'Допущения'!$B$13)^2</x:f>
        <x:v>463608.80466101697</x:v>
      </x:c>
      <x:c r="J32" s="7" t="n">
        <x:f>SUM(C32:I32)</x:f>
        <x:v>29133177.284898303</x:v>
      </x:c>
      <x:c r="K32" s="9" t="n">
        <x:f>J32/(1+'Допущения'!$B$9)</x:f>
        <x:v>27227268.49055916</x:v>
      </x:c>
      <x:c r="L32" s="9" t="n">
        <x:f>C32/(1+'Допущения'!$B$9)*'Допущения'!E31+'Допущения'!C31*'Допущения'!$B$8*$B32*'Допущения'!F31*(1+'Допущения'!$B$14)^2+D32/(1+'Допущения'!$B$9)*'Допущения'!E32+'Допущения'!C32*'Допущения'!$B$8*$B32*'Допущения'!F32*(1+'Допущения'!$B$14)^2+E32/(1+'Допущения'!$B$9)*'Допущения'!E33+'Допущения'!C33*'Допущения'!$B$8*$B32*'Допущения'!F33*(1+'Допущения'!$B$14)^2+F32/(1+'Допущения'!$B$9)*'Допущения'!E34+'Допущения'!C34*'Допущения'!$B$8*$B32*'Допущения'!F34*(1+'Допущения'!$B$14)^2+G32/(1+'Допущения'!$B$9)*'Допущения'!E35+'Допущения'!C35*'Допущения'!$B$8*$B32*'Допущения'!F35*(1+'Допущения'!$B$14)^2+H32/(1+'Допущения'!$B$9)*'Допущения'!E36+'Допущения'!C36*'Допущения'!$B$8*$B32*'Допущения'!F36*(1+'Допущения'!$B$14)^2+I32/(1+'Допущения'!$B$9)*'Допущения'!E37+'Допущения'!C37*'Допущения'!$B$8*$B32*'Допущения'!F37*(1+'Допущения'!$B$14)^2</x:f>
        <x:v>3930878.9874069374</x:v>
      </x:c>
      <x:c r="M32" s="9" t="n">
        <x:f>J32*'Допущения'!$B$11</x:f>
        <x:v>582663.5456979661</x:v>
      </x:c>
      <x:c r="N32" s="9" t="n">
        <x:f>'Инвестиции'!$C$35*(1+'Допущения'!$B$14)^2</x:f>
        <x:v>7110770.096705625</x:v>
      </x:c>
      <x:c r="O32" s="9" t="n">
        <x:f>K32*'Допущения'!$B$10</x:f>
        <x:v>1633636.1094335497</x:v>
      </x:c>
      <x:c r="P32" s="9" t="n">
        <x:f>K32*'Допущения'!$B$12</x:f>
        <x:v>544545.3698111832</x:v>
      </x:c>
      <x:c r="Q32" s="7" t="n">
        <x:f>K32-L32-M32-N32</x:f>
        <x:v>15602955.860748632</x:v>
      </x:c>
      <x:c r="R32" s="7" t="n">
        <x:f>Q32-O32-P32</x:f>
        <x:v>13424774.381503899</x:v>
      </x:c>
      <x:c r="S32" s="7" t="n">
        <x:f>S31+R32</x:f>
        <x:v>131220641.93878576</x:v>
      </x:c>
      <x:c r="T32" s="7" t="n">
        <x:f>IF(S32&gt;=0,A32,999)</x:f>
        <x:v>26</x:v>
      </x:c>
      <x:c r="U32" s="22" t="n">
        <x:f>'Допущения'!C31*'Допущения'!$B$8*B32*'Допущения'!$B$17/'Допущения'!$B$18/'Допущения'!$B$16</x:f>
        <x:v>105.93836671802774</x:v>
      </x:c>
      <x:c r="V32" s="7"/>
      <x:c r="W32" s="7"/>
    </x:row>
    <x:row r="33" ht="23" customHeight="1">
      <x:c r="A33" s="1" t="n">
        <x:v>27</x:v>
      </x:c>
      <x:c r="B33" s="17" t="n">
        <x:f>'Допущения'!C44*'Допущения'!D53</x:f>
        <x:v>1.0169491525423728</x:v>
      </x:c>
      <x:c r="C33" s="9" t="n">
        <x:f>'Допущения'!C31*'Допущения'!$B$8*'Допущения'!D31*$B33*(1+'Допущения'!$B$13)^2</x:f>
        <x:v>12716127.21355932</x:v>
      </x:c>
      <x:c r="D33" s="9" t="n">
        <x:f>'Допущения'!C32*'Допущения'!$B$8*'Допущения'!D32*$B33*(1+'Допущения'!$B$13)^2</x:f>
        <x:v>2207660.974576271</x:v>
      </x:c>
      <x:c r="E33" s="9" t="n">
        <x:f>'Допущения'!C33*'Допущения'!$B$8*'Допущения'!D33*$B33*(1+'Допущения'!$B$13)^2</x:f>
        <x:v>2702177.032881356</x:v>
      </x:c>
      <x:c r="F33" s="9" t="n">
        <x:f>'Допущения'!C34*'Допущения'!$B$8*'Допущения'!D34*$B33*(1+'Допущения'!$B$13)^2</x:f>
        <x:v>3532257.559322034</x:v>
      </x:c>
      <x:c r="G33" s="9" t="n">
        <x:f>'Допущения'!C35*'Допущения'!$B$8*'Допущения'!D35*$B33*(1+'Допущения'!$B$13)^2</x:f>
        <x:v>5510321.792542372</x:v>
      </x:c>
      <x:c r="H33" s="9" t="n">
        <x:f>'Допущения'!C36*'Допущения'!$B$8*'Допущения'!D36*$B33*(1+'Допущения'!$B$13)^2</x:f>
        <x:v>635806.360677966</x:v>
      </x:c>
      <x:c r="I33" s="9" t="n">
        <x:f>'Допущения'!C37*'Допущения'!$B$8*'Допущения'!D37*$B33*(1+'Допущения'!$B$13)^2</x:f>
        <x:v>441532.19491525425</x:v>
      </x:c>
      <x:c r="J33" s="7" t="n">
        <x:f>SUM(C33:I33)</x:f>
        <x:v>27745883.12847457</x:v>
      </x:c>
      <x:c r="K33" s="9" t="n">
        <x:f>J33/(1+'Допущения'!$B$9)</x:f>
        <x:v>25930731.895770624</x:v>
      </x:c>
      <x:c r="L33" s="9" t="n">
        <x:f>C33/(1+'Допущения'!$B$9)*'Допущения'!E31+'Допущения'!C31*'Допущения'!$B$8*$B33*'Допущения'!F31*(1+'Допущения'!$B$14)^2+D33/(1+'Допущения'!$B$9)*'Допущения'!E32+'Допущения'!C32*'Допущения'!$B$8*$B33*'Допущения'!F32*(1+'Допущения'!$B$14)^2+E33/(1+'Допущения'!$B$9)*'Допущения'!E33+'Допущения'!C33*'Допущения'!$B$8*$B33*'Допущения'!F33*(1+'Допущения'!$B$14)^2+F33/(1+'Допущения'!$B$9)*'Допущения'!E34+'Допущения'!C34*'Допущения'!$B$8*$B33*'Допущения'!F34*(1+'Допущения'!$B$14)^2+G33/(1+'Допущения'!$B$9)*'Допущения'!E35+'Допущения'!C35*'Допущения'!$B$8*$B33*'Допущения'!F35*(1+'Допущения'!$B$14)^2+H33/(1+'Допущения'!$B$9)*'Допущения'!E36+'Допущения'!C36*'Допущения'!$B$8*$B33*'Допущения'!F36*(1+'Допущения'!$B$14)^2+I33/(1+'Допущения'!$B$9)*'Допущения'!E37+'Допущения'!C37*'Допущения'!$B$8*$B33*'Допущения'!F37*(1+'Допущения'!$B$14)^2</x:f>
        <x:v>3743694.273720893</x:v>
      </x:c>
      <x:c r="M33" s="9" t="n">
        <x:f>J33*'Допущения'!$B$11</x:f>
        <x:v>554917.6625694914</x:v>
      </x:c>
      <x:c r="N33" s="9" t="n">
        <x:f>'Инвестиции'!$C$35*(1+'Допущения'!$B$14)^2</x:f>
        <x:v>7110770.096705625</x:v>
      </x:c>
      <x:c r="O33" s="9" t="n">
        <x:f>K33*'Допущения'!$B$10</x:f>
        <x:v>1555843.9137462373</x:v>
      </x:c>
      <x:c r="P33" s="9" t="n">
        <x:f>K33*'Допущения'!$B$12</x:f>
        <x:v>518614.6379154125</x:v>
      </x:c>
      <x:c r="Q33" s="7" t="n">
        <x:f>K33-L33-M33-N33</x:f>
        <x:v>14521349.862774612</x:v>
      </x:c>
      <x:c r="R33" s="7" t="n">
        <x:f>Q33-O33-P33</x:f>
        <x:v>12446891.311112963</x:v>
      </x:c>
      <x:c r="S33" s="7" t="n">
        <x:f>S32+R33</x:f>
        <x:v>143667533.24989873</x:v>
      </x:c>
      <x:c r="T33" s="7" t="n">
        <x:f>IF(S33&gt;=0,A33,999)</x:f>
        <x:v>27</x:v>
      </x:c>
      <x:c r="U33" s="22" t="n">
        <x:f>'Допущения'!C31*'Допущения'!$B$8*B33*'Допущения'!$B$17/'Допущения'!$B$18/'Допущения'!$B$16</x:f>
        <x:v>100.89368258859783</x:v>
      </x:c>
      <x:c r="V33" s="7"/>
      <x:c r="W33" s="7"/>
    </x:row>
    <x:row r="34" ht="23" customHeight="1">
      <x:c r="A34" s="1" t="n">
        <x:v>28</x:v>
      </x:c>
      <x:c r="B34" s="17" t="n">
        <x:f>'Допущения'!C45*'Допущения'!D53</x:f>
        <x:v>0.9152542372881356</x:v>
      </x:c>
      <x:c r="C34" s="9" t="n">
        <x:f>'Допущения'!C31*'Допущения'!$B$8*'Допущения'!D31*$B34*(1+'Допущения'!$B$13)^2</x:f>
        <x:v>11444514.492203388</x:v>
      </x:c>
      <x:c r="D34" s="9" t="n">
        <x:f>'Допущения'!C32*'Допущения'!$B$8*'Допущения'!D32*$B34*(1+'Допущения'!$B$13)^2</x:f>
        <x:v>1986894.8771186438</x:v>
      </x:c>
      <x:c r="E34" s="9" t="n">
        <x:f>'Допущения'!C33*'Допущения'!$B$8*'Допущения'!D33*$B34*(1+'Допущения'!$B$13)^2</x:f>
        <x:v>2431959.3295932203</x:v>
      </x:c>
      <x:c r="F34" s="9" t="n">
        <x:f>'Допущения'!C34*'Допущения'!$B$8*'Допущения'!D34*$B34*(1+'Допущения'!$B$13)^2</x:f>
        <x:v>3179031.8033898305</x:v>
      </x:c>
      <x:c r="G34" s="9" t="n">
        <x:f>'Допущения'!C35*'Допущения'!$B$8*'Допущения'!D35*$B34*(1+'Допущения'!$B$13)^2</x:f>
        <x:v>4959289.613288135</x:v>
      </x:c>
      <x:c r="H34" s="9" t="n">
        <x:f>'Допущения'!C36*'Допущения'!$B$8*'Допущения'!D36*$B34*(1+'Допущения'!$B$13)^2</x:f>
        <x:v>572225.7246101694</x:v>
      </x:c>
      <x:c r="I34" s="9" t="n">
        <x:f>'Допущения'!C37*'Допущения'!$B$8*'Допущения'!D37*$B34*(1+'Допущения'!$B$13)^2</x:f>
        <x:v>397378.9754237288</x:v>
      </x:c>
      <x:c r="J34" s="7" t="n">
        <x:f>SUM(C34:I34)</x:f>
        <x:v>24971294.815627113</x:v>
      </x:c>
      <x:c r="K34" s="9" t="n">
        <x:f>J34/(1+'Допущения'!$B$9)</x:f>
        <x:v>23337658.706193563</x:v>
      </x:c>
      <x:c r="L34" s="9" t="n">
        <x:f>C34/(1+'Допущения'!$B$9)*'Допущения'!E31+'Допущения'!C31*'Допущения'!$B$8*$B34*'Допущения'!F31*(1+'Допущения'!$B$14)^2+D34/(1+'Допущения'!$B$9)*'Допущения'!E32+'Допущения'!C32*'Допущения'!$B$8*$B34*'Допущения'!F32*(1+'Допущения'!$B$14)^2+E34/(1+'Допущения'!$B$9)*'Допущения'!E33+'Допущения'!C33*'Допущения'!$B$8*$B34*'Допущения'!F33*(1+'Допущения'!$B$14)^2+F34/(1+'Допущения'!$B$9)*'Допущения'!E34+'Допущения'!C34*'Допущения'!$B$8*$B34*'Допущения'!F34*(1+'Допущения'!$B$14)^2+G34/(1+'Допущения'!$B$9)*'Допущения'!E35+'Допущения'!C35*'Допущения'!$B$8*$B34*'Допущения'!F35*(1+'Допущения'!$B$14)^2+H34/(1+'Допущения'!$B$9)*'Допущения'!E36+'Допущения'!C36*'Допущения'!$B$8*$B34*'Допущения'!F36*(1+'Допущения'!$B$14)^2+I34/(1+'Допущения'!$B$9)*'Допущения'!E37+'Допущения'!C37*'Допущения'!$B$8*$B34*'Допущения'!F37*(1+'Допущения'!$B$14)^2</x:f>
        <x:v>3369324.8463488035</x:v>
      </x:c>
      <x:c r="M34" s="9" t="n">
        <x:f>J34*'Допущения'!$B$11</x:f>
        <x:v>499425.89631254226</x:v>
      </x:c>
      <x:c r="N34" s="9" t="n">
        <x:f>'Инвестиции'!$C$35*(1+'Допущения'!$B$14)^2</x:f>
        <x:v>7110770.096705625</x:v>
      </x:c>
      <x:c r="O34" s="9" t="n">
        <x:f>K34*'Допущения'!$B$10</x:f>
        <x:v>1400259.5223716137</x:v>
      </x:c>
      <x:c r="P34" s="9" t="n">
        <x:f>K34*'Допущения'!$B$12</x:f>
        <x:v>466753.17412387126</x:v>
      </x:c>
      <x:c r="Q34" s="7" t="n">
        <x:f>K34-L34-M34-N34</x:f>
        <x:v>12358137.866826592</x:v>
      </x:c>
      <x:c r="R34" s="7" t="n">
        <x:f>Q34-O34-P34</x:f>
        <x:v>10491125.170331106</x:v>
      </x:c>
      <x:c r="S34" s="7" t="n">
        <x:f>S33+R34</x:f>
        <x:v>154158658.42022985</x:v>
      </x:c>
      <x:c r="T34" s="7" t="n">
        <x:f>IF(S34&gt;=0,A34,999)</x:f>
        <x:v>28</x:v>
      </x:c>
      <x:c r="U34" s="22" t="n">
        <x:f>'Допущения'!C31*'Допущения'!$B$8*B34*'Допущения'!$B$17/'Допущения'!$B$18/'Допущения'!$B$16</x:f>
        <x:v>90.80431432973805</x:v>
      </x:c>
      <x:c r="V34" s="7"/>
      <x:c r="W34" s="7"/>
    </x:row>
    <x:row r="35" ht="23" customHeight="1">
      <x:c r="A35" s="1" t="n">
        <x:v>29</x:v>
      </x:c>
      <x:c r="B35" s="17" t="n">
        <x:f>'Допущения'!C46*'Допущения'!D53</x:f>
        <x:v>0.8644067796610169</x:v>
      </x:c>
      <x:c r="C35" s="9" t="n">
        <x:f>'Допущения'!C31*'Допущения'!$B$8*'Допущения'!D31*$B35*(1+'Допущения'!$B$13)^2</x:f>
        <x:v>10808708.131525422</x:v>
      </x:c>
      <x:c r="D35" s="9" t="n">
        <x:f>'Допущения'!C32*'Допущения'!$B$8*'Допущения'!D32*$B35*(1+'Допущения'!$B$13)^2</x:f>
        <x:v>1876511.8283898302</x:v>
      </x:c>
      <x:c r="E35" s="9" t="n">
        <x:f>'Допущения'!C33*'Допущения'!$B$8*'Допущения'!D33*$B35*(1+'Допущения'!$B$13)^2</x:f>
        <x:v>2296850.4779491522</x:v>
      </x:c>
      <x:c r="F35" s="9" t="n">
        <x:f>'Допущения'!C34*'Допущения'!$B$8*'Допущения'!D34*$B35*(1+'Допущения'!$B$13)^2</x:f>
        <x:v>3002418.9254237283</x:v>
      </x:c>
      <x:c r="G35" s="9" t="n">
        <x:f>'Допущения'!C35*'Допущения'!$B$8*'Допущения'!D35*$B35*(1+'Допущения'!$B$13)^2</x:f>
        <x:v>4683773.5236610165</x:v>
      </x:c>
      <x:c r="H35" s="9" t="n">
        <x:f>'Допущения'!C36*'Допущения'!$B$8*'Допущения'!D36*$B35*(1+'Допущения'!$B$13)^2</x:f>
        <x:v>540435.4065762712</x:v>
      </x:c>
      <x:c r="I35" s="9" t="n">
        <x:f>'Допущения'!C37*'Допущения'!$B$8*'Допущения'!D37*$B35*(1+'Допущения'!$B$13)^2</x:f>
        <x:v>375302.36567796604</x:v>
      </x:c>
      <x:c r="J35" s="7" t="n">
        <x:f>SUM(C35:I35)</x:f>
        <x:v>23584000.65920339</x:v>
      </x:c>
      <x:c r="K35" s="9" t="n">
        <x:f>J35/(1+'Допущения'!$B$9)</x:f>
        <x:v>22041122.111405037</x:v>
      </x:c>
      <x:c r="L35" s="9" t="n">
        <x:f>C35/(1+'Допущения'!$B$9)*'Допущения'!E31+'Допущения'!C31*'Допущения'!$B$8*$B35*'Допущения'!F31*(1+'Допущения'!$B$14)^2+D35/(1+'Допущения'!$B$9)*'Допущения'!E32+'Допущения'!C32*'Допущения'!$B$8*$B35*'Допущения'!F32*(1+'Допущения'!$B$14)^2+E35/(1+'Допущения'!$B$9)*'Допущения'!E33+'Допущения'!C33*'Допущения'!$B$8*$B35*'Допущения'!F33*(1+'Допущения'!$B$14)^2+F35/(1+'Допущения'!$B$9)*'Допущения'!E34+'Допущения'!C34*'Допущения'!$B$8*$B35*'Допущения'!F34*(1+'Допущения'!$B$14)^2+G35/(1+'Допущения'!$B$9)*'Допущения'!E35+'Допущения'!C35*'Допущения'!$B$8*$B35*'Допущения'!F35*(1+'Допущения'!$B$14)^2+H35/(1+'Допущения'!$B$9)*'Допущения'!E36+'Допущения'!C36*'Допущения'!$B$8*$B35*'Допущения'!F36*(1+'Допущения'!$B$14)^2+I35/(1+'Допущения'!$B$9)*'Допущения'!E37+'Допущения'!C37*'Допущения'!$B$8*$B35*'Допущения'!F37*(1+'Допущения'!$B$14)^2</x:f>
        <x:v>3182140.1326627587</x:v>
      </x:c>
      <x:c r="M35" s="9" t="n">
        <x:f>J35*'Допущения'!$B$11</x:f>
        <x:v>471680.01318406785</x:v>
      </x:c>
      <x:c r="N35" s="9" t="n">
        <x:f>'Инвестиции'!$C$35*(1+'Допущения'!$B$14)^2</x:f>
        <x:v>7110770.096705625</x:v>
      </x:c>
      <x:c r="O35" s="9" t="n">
        <x:f>K35*'Допущения'!$B$10</x:f>
        <x:v>1322467.3266843022</x:v>
      </x:c>
      <x:c r="P35" s="9" t="n">
        <x:f>K35*'Допущения'!$B$12</x:f>
        <x:v>440822.4422281007</x:v>
      </x:c>
      <x:c r="Q35" s="7" t="n">
        <x:f>K35-L35-M35-N35</x:f>
        <x:v>11276531.868852587</x:v>
      </x:c>
      <x:c r="R35" s="7" t="n">
        <x:f>Q35-O35-P35</x:f>
        <x:v>9513242.099940185</x:v>
      </x:c>
      <x:c r="S35" s="7" t="n">
        <x:f>S34+R35</x:f>
        <x:v>163671900.52017003</x:v>
      </x:c>
      <x:c r="T35" s="7" t="n">
        <x:f>IF(S35&gt;=0,A35,999)</x:f>
        <x:v>29</x:v>
      </x:c>
      <x:c r="U35" s="22" t="n">
        <x:f>'Допущения'!C31*'Допущения'!$B$8*B35*'Допущения'!$B$17/'Допущения'!$B$18/'Допущения'!$B$16</x:f>
        <x:v>85.75963020030815</x:v>
      </x:c>
      <x:c r="V35" s="7"/>
      <x:c r="W35" s="7"/>
    </x:row>
    <x:row r="36" ht="23" customHeight="1">
      <x:c r="A36" s="1" t="n">
        <x:v>30</x:v>
      </x:c>
      <x:c r="B36" s="17" t="n">
        <x:f>'Допущения'!C47*'Допущения'!D53</x:f>
        <x:v>0.7118644067796609</x:v>
      </x:c>
      <x:c r="C36" s="9" t="n">
        <x:f>'Допущения'!C31*'Допущения'!$B$8*'Допущения'!D31*$B36*(1+'Допущения'!$B$13)^2</x:f>
        <x:v>8901289.049491525</x:v>
      </x:c>
      <x:c r="D36" s="9" t="n">
        <x:f>'Допущения'!C32*'Допущения'!$B$8*'Допущения'!D32*$B36*(1+'Допущения'!$B$13)^2</x:f>
        <x:v>1545362.6822033897</x:v>
      </x:c>
      <x:c r="E36" s="9" t="n">
        <x:f>'Допущения'!C33*'Допущения'!$B$8*'Допущения'!D33*$B36*(1+'Допущения'!$B$13)^2</x:f>
        <x:v>1891523.9230169489</x:v>
      </x:c>
      <x:c r="F36" s="9" t="n">
        <x:f>'Допущения'!C34*'Допущения'!$B$8*'Допущения'!D34*$B36*(1+'Допущения'!$B$13)^2</x:f>
        <x:v>2472580.291525423</x:v>
      </x:c>
      <x:c r="G36" s="9" t="n">
        <x:f>'Допущения'!C35*'Допущения'!$B$8*'Допущения'!D35*$B36*(1+'Допущения'!$B$13)^2</x:f>
        <x:v>3857225.25477966</x:v>
      </x:c>
      <x:c r="H36" s="9" t="n">
        <x:f>'Допущения'!C36*'Допущения'!$B$8*'Допущения'!D36*$B36*(1+'Допущения'!$B$13)^2</x:f>
        <x:v>445064.4524745762</x:v>
      </x:c>
      <x:c r="I36" s="9" t="n">
        <x:f>'Допущения'!C37*'Допущения'!$B$8*'Допущения'!D37*$B36*(1+'Допущения'!$B$13)^2</x:f>
        <x:v>309072.5364406779</x:v>
      </x:c>
      <x:c r="J36" s="7" t="n">
        <x:f>SUM(C36:I36)</x:f>
        <x:v>19422118.1899322</x:v>
      </x:c>
      <x:c r="K36" s="9" t="n">
        <x:f>J36/(1+'Допущения'!$B$9)</x:f>
        <x:v>18151512.32703944</x:v>
      </x:c>
      <x:c r="L36" s="9" t="n">
        <x:f>C36/(1+'Допущения'!$B$9)*'Допущения'!E31+'Допущения'!C31*'Допущения'!$B$8*$B36*'Допущения'!F31*(1+'Допущения'!$B$14)^2+D36/(1+'Допущения'!$B$9)*'Допущения'!E32+'Допущения'!C32*'Допущения'!$B$8*$B36*'Допущения'!F32*(1+'Допущения'!$B$14)^2+E36/(1+'Допущения'!$B$9)*'Допущения'!E33+'Допущения'!C33*'Допущения'!$B$8*$B36*'Допущения'!F33*(1+'Допущения'!$B$14)^2+F36/(1+'Допущения'!$B$9)*'Допущения'!E34+'Допущения'!C34*'Допущения'!$B$8*$B36*'Допущения'!F34*(1+'Допущения'!$B$14)^2+G36/(1+'Допущения'!$B$9)*'Допущения'!E35+'Допущения'!C35*'Допущения'!$B$8*$B36*'Допущения'!F35*(1+'Допущения'!$B$14)^2+H36/(1+'Допущения'!$B$9)*'Допущения'!E36+'Допущения'!C36*'Допущения'!$B$8*$B36*'Допущения'!F36*(1+'Допущения'!$B$14)^2+I36/(1+'Допущения'!$B$9)*'Допущения'!E37+'Допущения'!C37*'Допущения'!$B$8*$B36*'Допущения'!F37*(1+'Допущения'!$B$14)^2</x:f>
        <x:v>2620585.9916046243</x:v>
      </x:c>
      <x:c r="M36" s="9" t="n">
        <x:f>J36*'Допущения'!$B$11</x:f>
        <x:v>388442.36379864404</x:v>
      </x:c>
      <x:c r="N36" s="9" t="n">
        <x:f>'Инвестиции'!$C$35*(1+'Допущения'!$B$14)^2</x:f>
        <x:v>7110770.096705625</x:v>
      </x:c>
      <x:c r="O36" s="9" t="n">
        <x:f>K36*'Допущения'!$B$10</x:f>
        <x:v>1089090.7396223664</x:v>
      </x:c>
      <x:c r="P36" s="9" t="n">
        <x:f>K36*'Допущения'!$B$12</x:f>
        <x:v>363030.2465407888</x:v>
      </x:c>
      <x:c r="Q36" s="7" t="n">
        <x:f>K36-L36-M36-N36</x:f>
        <x:v>8031713.874930546</x:v>
      </x:c>
      <x:c r="R36" s="7" t="n">
        <x:f>Q36-O36-P36</x:f>
        <x:v>6579592.8887673905</x:v>
      </x:c>
      <x:c r="S36" s="7" t="n">
        <x:f>S35+R36</x:f>
        <x:v>170251493.40893742</x:v>
      </x:c>
      <x:c r="T36" s="7" t="n">
        <x:f>IF(S36&gt;=0,A36,999)</x:f>
        <x:v>30</x:v>
      </x:c>
      <x:c r="U36" s="22" t="n">
        <x:f>'Допущения'!C31*'Допущения'!$B$8*B36*'Допущения'!$B$17/'Допущения'!$B$18/'Допущения'!$B$16</x:f>
        <x:v>70.62557781201848</x:v>
      </x:c>
      <x:c r="V36" s="7"/>
      <x:c r="W36" s="7"/>
    </x:row>
    <x:row r="37" ht="23" customHeight="1">
      <x:c r="A37" s="1" t="n">
        <x:v>31</x:v>
      </x:c>
      <x:c r="B37" s="17" t="n">
        <x:f>'Допущения'!C48*'Допущения'!D53</x:f>
        <x:v>0.7627118644067796</x:v>
      </x:c>
      <x:c r="C37" s="9" t="n">
        <x:f>'Допущения'!C31*'Допущения'!$B$8*'Допущения'!D31*$B37*(1+'Допущения'!$B$13)^2</x:f>
        <x:v>9537095.410169492</x:v>
      </x:c>
      <x:c r="D37" s="9" t="n">
        <x:f>'Допущения'!C32*'Допущения'!$B$8*'Допущения'!D32*$B37*(1+'Допущения'!$B$13)^2</x:f>
        <x:v>1655745.7309322031</x:v>
      </x:c>
      <x:c r="E37" s="9" t="n">
        <x:f>'Допущения'!C33*'Допущения'!$B$8*'Допущения'!D33*$B37*(1+'Допущения'!$B$13)^2</x:f>
        <x:v>2026632.7746610169</x:v>
      </x:c>
      <x:c r="F37" s="9" t="n">
        <x:f>'Допущения'!C34*'Допущения'!$B$8*'Допущения'!D34*$B37*(1+'Допущения'!$B$13)^2</x:f>
        <x:v>2649193.1694915253</x:v>
      </x:c>
      <x:c r="G37" s="9" t="n">
        <x:f>'Допущения'!C35*'Допущения'!$B$8*'Допущения'!D35*$B37*(1+'Допущения'!$B$13)^2</x:f>
        <x:v>4132741.344406779</x:v>
      </x:c>
      <x:c r="H37" s="9" t="n">
        <x:f>'Допущения'!C36*'Допущения'!$B$8*'Допущения'!D36*$B37*(1+'Допущения'!$B$13)^2</x:f>
        <x:v>476854.7705084745</x:v>
      </x:c>
      <x:c r="I37" s="9" t="n">
        <x:f>'Допущения'!C37*'Допущения'!$B$8*'Допущения'!D37*$B37*(1+'Допущения'!$B$13)^2</x:f>
        <x:v>331149.14618644066</x:v>
      </x:c>
      <x:c r="J37" s="7" t="n">
        <x:f>SUM(C37:I37)</x:f>
        <x:v>20809412.346355934</x:v>
      </x:c>
      <x:c r="K37" s="9" t="n">
        <x:f>J37/(1+'Допущения'!$B$9)</x:f>
        <x:v>19448048.921827976</x:v>
      </x:c>
      <x:c r="L37" s="9" t="n">
        <x:f>C37/(1+'Допущения'!$B$9)*'Допущения'!E31+'Допущения'!C31*'Допущения'!$B$8*$B37*'Допущения'!F31*(1+'Допущения'!$B$14)^2+D37/(1+'Допущения'!$B$9)*'Допущения'!E32+'Допущения'!C32*'Допущения'!$B$8*$B37*'Допущения'!F32*(1+'Допущения'!$B$14)^2+E37/(1+'Допущения'!$B$9)*'Допущения'!E33+'Допущения'!C33*'Допущения'!$B$8*$B37*'Допущения'!F33*(1+'Допущения'!$B$14)^2+F37/(1+'Допущения'!$B$9)*'Допущения'!E34+'Допущения'!C34*'Допущения'!$B$8*$B37*'Допущения'!F34*(1+'Допущения'!$B$14)^2+G37/(1+'Допущения'!$B$9)*'Допущения'!E35+'Допущения'!C35*'Допущения'!$B$8*$B37*'Допущения'!F35*(1+'Допущения'!$B$14)^2+H37/(1+'Допущения'!$B$9)*'Допущения'!E36+'Допущения'!C36*'Допущения'!$B$8*$B37*'Допущения'!F36*(1+'Допущения'!$B$14)^2+I37/(1+'Допущения'!$B$9)*'Допущения'!E37+'Допущения'!C37*'Допущения'!$B$8*$B37*'Допущения'!F37*(1+'Допущения'!$B$14)^2</x:f>
        <x:v>2807770.705290669</x:v>
      </x:c>
      <x:c r="M37" s="9" t="n">
        <x:f>J37*'Допущения'!$B$11</x:f>
        <x:v>416188.2469271187</x:v>
      </x:c>
      <x:c r="N37" s="9" t="n">
        <x:f>'Инвестиции'!$C$35*(1+'Допущения'!$B$14)^2</x:f>
        <x:v>7110770.096705625</x:v>
      </x:c>
      <x:c r="O37" s="9" t="n">
        <x:f>K37*'Допущения'!$B$10</x:f>
        <x:v>1166882.9353096785</x:v>
      </x:c>
      <x:c r="P37" s="9" t="n">
        <x:f>K37*'Допущения'!$B$12</x:f>
        <x:v>388960.9784365595</x:v>
      </x:c>
      <x:c r="Q37" s="7" t="n">
        <x:f>K37-L37-M37-N37</x:f>
        <x:v>9113319.872904563</x:v>
      </x:c>
      <x:c r="R37" s="7" t="n">
        <x:f>Q37-O37-P37</x:f>
        <x:v>7557475.959158326</x:v>
      </x:c>
      <x:c r="S37" s="7" t="n">
        <x:f>S36+R37</x:f>
        <x:v>177808969.36809576</x:v>
      </x:c>
      <x:c r="T37" s="7" t="n">
        <x:f>IF(S37&gt;=0,A37,999)</x:f>
        <x:v>31</x:v>
      </x:c>
      <x:c r="U37" s="22" t="n">
        <x:f>'Допущения'!C31*'Допущения'!$B$8*B37*'Допущения'!$B$17/'Допущения'!$B$18/'Допущения'!$B$16</x:f>
        <x:v>75.67026194144837</x:v>
      </x:c>
      <x:c r="V37" s="7"/>
      <x:c r="W37" s="7"/>
    </x:row>
    <x:row r="38" ht="23" customHeight="1">
      <x:c r="A38" s="1" t="n">
        <x:v>32</x:v>
      </x:c>
      <x:c r="B38" s="17" t="n">
        <x:f>'Допущения'!C49*'Допущения'!D53</x:f>
        <x:v>0.8135593220338982</x:v>
      </x:c>
      <x:c r="C38" s="9" t="n">
        <x:f>'Допущения'!C31*'Допущения'!$B$8*'Допущения'!D31*$B38*(1+'Допущения'!$B$13)^2</x:f>
        <x:v>10172901.770847457</x:v>
      </x:c>
      <x:c r="D38" s="9" t="n">
        <x:f>'Допущения'!C32*'Допущения'!$B$8*'Допущения'!D32*$B38*(1+'Допущения'!$B$13)^2</x:f>
        <x:v>1766128.7796610165</x:v>
      </x:c>
      <x:c r="E38" s="9" t="n">
        <x:f>'Допущения'!C33*'Допущения'!$B$8*'Допущения'!D33*$B38*(1+'Допущения'!$B$13)^2</x:f>
        <x:v>2161741.6263050847</x:v>
      </x:c>
      <x:c r="F38" s="9" t="n">
        <x:f>'Допущения'!C34*'Допущения'!$B$8*'Допущения'!D34*$B38*(1+'Допущения'!$B$13)^2</x:f>
        <x:v>2825806.047457627</x:v>
      </x:c>
      <x:c r="G38" s="9" t="n">
        <x:f>'Допущения'!C35*'Допущения'!$B$8*'Допущения'!D35*$B38*(1+'Допущения'!$B$13)^2</x:f>
        <x:v>4408257.434033898</x:v>
      </x:c>
      <x:c r="H38" s="9" t="n">
        <x:f>'Допущения'!C36*'Допущения'!$B$8*'Допущения'!D36*$B38*(1+'Допущения'!$B$13)^2</x:f>
        <x:v>508645.0885423728</x:v>
      </x:c>
      <x:c r="I38" s="9" t="n">
        <x:f>'Допущения'!C37*'Допущения'!$B$8*'Допущения'!D37*$B38*(1+'Допущения'!$B$13)^2</x:f>
        <x:v>353225.7559322034</x:v>
      </x:c>
      <x:c r="J38" s="7" t="n">
        <x:f>SUM(C38:I38)</x:f>
        <x:v>22196706.50277966</x:v>
      </x:c>
      <x:c r="K38" s="9" t="n">
        <x:f>J38/(1+'Допущения'!$B$9)</x:f>
        <x:v>20744585.5166165</x:v>
      </x:c>
      <x:c r="L38" s="9" t="n">
        <x:f>C38/(1+'Допущения'!$B$9)*'Допущения'!E31+'Допущения'!C31*'Допущения'!$B$8*$B38*'Допущения'!F31*(1+'Допущения'!$B$14)^2+D38/(1+'Допущения'!$B$9)*'Допущения'!E32+'Допущения'!C32*'Допущения'!$B$8*$B38*'Допущения'!F32*(1+'Допущения'!$B$14)^2+E38/(1+'Допущения'!$B$9)*'Допущения'!E33+'Допущения'!C33*'Допущения'!$B$8*$B38*'Допущения'!F33*(1+'Допущения'!$B$14)^2+F38/(1+'Допущения'!$B$9)*'Допущения'!E34+'Допущения'!C34*'Допущения'!$B$8*$B38*'Допущения'!F34*(1+'Допущения'!$B$14)^2+G38/(1+'Допущения'!$B$9)*'Допущения'!E35+'Допущения'!C35*'Допущения'!$B$8*$B38*'Допущения'!F35*(1+'Допущения'!$B$14)^2+H38/(1+'Допущения'!$B$9)*'Допущения'!E36+'Допущения'!C36*'Допущения'!$B$8*$B38*'Допущения'!F36*(1+'Допущения'!$B$14)^2+I38/(1+'Допущения'!$B$9)*'Допущения'!E37+'Допущения'!C37*'Допущения'!$B$8*$B38*'Допущения'!F37*(1+'Допущения'!$B$14)^2</x:f>
        <x:v>2994955.4189767144</x:v>
      </x:c>
      <x:c r="M38" s="9" t="n">
        <x:f>J38*'Допущения'!$B$11</x:f>
        <x:v>443934.1300555932</x:v>
      </x:c>
      <x:c r="N38" s="9" t="n">
        <x:f>'Инвестиции'!$C$35*(1+'Допущения'!$B$14)^2</x:f>
        <x:v>7110770.096705625</x:v>
      </x:c>
      <x:c r="O38" s="9" t="n">
        <x:f>K38*'Допущения'!$B$10</x:f>
        <x:v>1244675.13099699</x:v>
      </x:c>
      <x:c r="P38" s="9" t="n">
        <x:f>K38*'Допущения'!$B$12</x:f>
        <x:v>414891.71033233</x:v>
      </x:c>
      <x:c r="Q38" s="7" t="n">
        <x:f>K38-L38-M38-N38</x:f>
        <x:v>10194925.870878572</x:v>
      </x:c>
      <x:c r="R38" s="7" t="n">
        <x:f>Q38-O38-P38</x:f>
        <x:v>8535359.029549252</x:v>
      </x:c>
      <x:c r="S38" s="7" t="n">
        <x:f>S37+R38</x:f>
        <x:v>186344328.397645</x:v>
      </x:c>
      <x:c r="T38" s="7" t="n">
        <x:f>IF(S38&gt;=0,A38,999)</x:f>
        <x:v>32</x:v>
      </x:c>
      <x:c r="U38" s="22" t="n">
        <x:f>'Допущения'!C31*'Допущения'!$B$8*B38*'Допущения'!$B$17/'Допущения'!$B$18/'Допущения'!$B$16</x:f>
        <x:v>80.71494607087827</x:v>
      </x:c>
      <x:c r="V38" s="7"/>
      <x:c r="W38" s="7"/>
    </x:row>
    <x:row r="39" ht="23" customHeight="1">
      <x:c r="A39" s="1" t="n">
        <x:v>33</x:v>
      </x:c>
      <x:c r="B39" s="17" t="n">
        <x:f>'Допущения'!C50*'Допущения'!D53</x:f>
        <x:v>1.0677966101694916</x:v>
      </x:c>
      <x:c r="C39" s="9" t="n">
        <x:f>'Допущения'!C31*'Допущения'!$B$8*'Допущения'!D31*$B39*(1+'Допущения'!$B$13)^2</x:f>
        <x:v>13351933.574237287</x:v>
      </x:c>
      <x:c r="D39" s="9" t="n">
        <x:f>'Допущения'!C32*'Допущения'!$B$8*'Допущения'!D32*$B39*(1+'Допущения'!$B$13)^2</x:f>
        <x:v>2318044.0233050846</x:v>
      </x:c>
      <x:c r="E39" s="9" t="n">
        <x:f>'Допущения'!C33*'Допущения'!$B$8*'Допущения'!D33*$B39*(1+'Допущения'!$B$13)^2</x:f>
        <x:v>2837285.884525424</x:v>
      </x:c>
      <x:c r="F39" s="9" t="n">
        <x:f>'Допущения'!C34*'Допущения'!$B$8*'Допущения'!D34*$B39*(1+'Допущения'!$B$13)^2</x:f>
        <x:v>3708870.4372881358</x:v>
      </x:c>
      <x:c r="G39" s="9" t="n">
        <x:f>'Допущения'!C35*'Допущения'!$B$8*'Допущения'!D35*$B39*(1+'Допущения'!$B$13)^2</x:f>
        <x:v>5785837.882169492</x:v>
      </x:c>
      <x:c r="H39" s="9" t="n">
        <x:f>'Допущения'!C36*'Допущения'!$B$8*'Допущения'!D36*$B39*(1+'Допущения'!$B$13)^2</x:f>
        <x:v>667596.6787118644</x:v>
      </x:c>
      <x:c r="I39" s="9" t="n">
        <x:f>'Допущения'!C37*'Допущения'!$B$8*'Допущения'!D37*$B39*(1+'Допущения'!$B$13)^2</x:f>
        <x:v>463608.80466101697</x:v>
      </x:c>
      <x:c r="J39" s="7" t="n">
        <x:f>SUM(C39:I39)</x:f>
        <x:v>29133177.284898303</x:v>
      </x:c>
      <x:c r="K39" s="9" t="n">
        <x:f>J39/(1+'Допущения'!$B$9)</x:f>
        <x:v>27227268.49055916</x:v>
      </x:c>
      <x:c r="L39" s="9" t="n">
        <x:f>C39/(1+'Допущения'!$B$9)*'Допущения'!E31+'Допущения'!C31*'Допущения'!$B$8*$B39*'Допущения'!F31*(1+'Допущения'!$B$14)^2+D39/(1+'Допущения'!$B$9)*'Допущения'!E32+'Допущения'!C32*'Допущения'!$B$8*$B39*'Допущения'!F32*(1+'Допущения'!$B$14)^2+E39/(1+'Допущения'!$B$9)*'Допущения'!E33+'Допущения'!C33*'Допущения'!$B$8*$B39*'Допущения'!F33*(1+'Допущения'!$B$14)^2+F39/(1+'Допущения'!$B$9)*'Допущения'!E34+'Допущения'!C34*'Допущения'!$B$8*$B39*'Допущения'!F34*(1+'Допущения'!$B$14)^2+G39/(1+'Допущения'!$B$9)*'Допущения'!E35+'Допущения'!C35*'Допущения'!$B$8*$B39*'Допущения'!F35*(1+'Допущения'!$B$14)^2+H39/(1+'Допущения'!$B$9)*'Допущения'!E36+'Допущения'!C36*'Допущения'!$B$8*$B39*'Допущения'!F36*(1+'Допущения'!$B$14)^2+I39/(1+'Допущения'!$B$9)*'Допущения'!E37+'Допущения'!C37*'Допущения'!$B$8*$B39*'Допущения'!F37*(1+'Допущения'!$B$14)^2</x:f>
        <x:v>3930878.9874069374</x:v>
      </x:c>
      <x:c r="M39" s="9" t="n">
        <x:f>J39*'Допущения'!$B$11</x:f>
        <x:v>582663.5456979661</x:v>
      </x:c>
      <x:c r="N39" s="9" t="n">
        <x:f>'Инвестиции'!$C$35*(1+'Допущения'!$B$14)^2</x:f>
        <x:v>7110770.096705625</x:v>
      </x:c>
      <x:c r="O39" s="9" t="n">
        <x:f>K39*'Допущения'!$B$10</x:f>
        <x:v>1633636.1094335497</x:v>
      </x:c>
      <x:c r="P39" s="9" t="n">
        <x:f>K39*'Допущения'!$B$12</x:f>
        <x:v>544545.3698111832</x:v>
      </x:c>
      <x:c r="Q39" s="7" t="n">
        <x:f>K39-L39-M39-N39</x:f>
        <x:v>15602955.860748632</x:v>
      </x:c>
      <x:c r="R39" s="7" t="n">
        <x:f>Q39-O39-P39</x:f>
        <x:v>13424774.381503899</x:v>
      </x:c>
      <x:c r="S39" s="7" t="n">
        <x:f>S38+R39</x:f>
        <x:v>199769102.7791489</x:v>
      </x:c>
      <x:c r="T39" s="7" t="n">
        <x:f>IF(S39&gt;=0,A39,999)</x:f>
        <x:v>33</x:v>
      </x:c>
      <x:c r="U39" s="22" t="n">
        <x:f>'Допущения'!C31*'Допущения'!$B$8*B39*'Допущения'!$B$17/'Допущения'!$B$18/'Допущения'!$B$16</x:f>
        <x:v>105.93836671802774</x:v>
      </x:c>
      <x:c r="V39" s="7"/>
      <x:c r="W39" s="7"/>
    </x:row>
    <x:row r="40" ht="23" customHeight="1">
      <x:c r="A40" s="1" t="n">
        <x:v>34</x:v>
      </x:c>
      <x:c r="B40" s="17" t="n">
        <x:f>'Допущения'!C51*'Допущения'!D53</x:f>
        <x:v>1.1694915254237286</x:v>
      </x:c>
      <x:c r="C40" s="9" t="n">
        <x:f>'Допущения'!C31*'Допущения'!$B$8*'Допущения'!D31*$B40*(1+'Допущения'!$B$13)^2</x:f>
        <x:v>14623546.295593217</x:v>
      </x:c>
      <x:c r="D40" s="9" t="n">
        <x:f>'Допущения'!C32*'Допущения'!$B$8*'Допущения'!D32*$B40*(1+'Допущения'!$B$13)^2</x:f>
        <x:v>2538810.1207627114</x:v>
      </x:c>
      <x:c r="E40" s="9" t="n">
        <x:f>'Допущения'!C33*'Допущения'!$B$8*'Допущения'!D33*$B40*(1+'Допущения'!$B$13)^2</x:f>
        <x:v>3107503.5878135585</x:v>
      </x:c>
      <x:c r="F40" s="9" t="n">
        <x:f>'Допущения'!C34*'Допущения'!$B$8*'Допущения'!D34*$B40*(1+'Допущения'!$B$13)^2</x:f>
        <x:v>4062096.193220338</x:v>
      </x:c>
      <x:c r="G40" s="9" t="n">
        <x:f>'Допущения'!C35*'Допущения'!$B$8*'Допущения'!D35*$B40*(1+'Допущения'!$B$13)^2</x:f>
        <x:v>6336870.061423727</x:v>
      </x:c>
      <x:c r="H40" s="9" t="n">
        <x:f>'Допущения'!C36*'Допущения'!$B$8*'Допущения'!D36*$B40*(1+'Допущения'!$B$13)^2</x:f>
        <x:v>731177.3147796609</x:v>
      </x:c>
      <x:c r="I40" s="9" t="n">
        <x:f>'Допущения'!C37*'Допущения'!$B$8*'Допущения'!D37*$B40*(1+'Допущения'!$B$13)^2</x:f>
        <x:v>507762.02415254223</x:v>
      </x:c>
      <x:c r="J40" s="7" t="n">
        <x:f>SUM(C40:I40)</x:f>
        <x:v>31907765.597745758</x:v>
      </x:c>
      <x:c r="K40" s="9" t="n">
        <x:f>J40/(1+'Допущения'!$B$9)</x:f>
        <x:v>29820341.68013622</x:v>
      </x:c>
      <x:c r="L40" s="9" t="n">
        <x:f>C40/(1+'Допущения'!$B$9)*'Допущения'!E31+'Допущения'!C31*'Допущения'!$B$8*$B40*'Допущения'!F31*(1+'Допущения'!$B$14)^2+D40/(1+'Допущения'!$B$9)*'Допущения'!E32+'Допущения'!C32*'Допущения'!$B$8*$B40*'Допущения'!F32*(1+'Допущения'!$B$14)^2+E40/(1+'Допущения'!$B$9)*'Допущения'!E33+'Допущения'!C33*'Допущения'!$B$8*$B40*'Допущения'!F33*(1+'Допущения'!$B$14)^2+F40/(1+'Допущения'!$B$9)*'Допущения'!E34+'Допущения'!C34*'Допущения'!$B$8*$B40*'Допущения'!F34*(1+'Допущения'!$B$14)^2+G40/(1+'Допущения'!$B$9)*'Допущения'!E35+'Допущения'!C35*'Допущения'!$B$8*$B40*'Допущения'!F35*(1+'Допущения'!$B$14)^2+H40/(1+'Допущения'!$B$9)*'Допущения'!E36+'Допущения'!C36*'Допущения'!$B$8*$B40*'Допущения'!F36*(1+'Допущения'!$B$14)^2+I40/(1+'Допущения'!$B$9)*'Допущения'!E37+'Допущения'!C37*'Допущения'!$B$8*$B40*'Допущения'!F37*(1+'Допущения'!$B$14)^2</x:f>
        <x:v>4305248.414779026</x:v>
      </x:c>
      <x:c r="M40" s="9" t="n">
        <x:f>J40*'Допущения'!$B$11</x:f>
        <x:v>638155.3119549152</x:v>
      </x:c>
      <x:c r="N40" s="9" t="n">
        <x:f>'Инвестиции'!$C$35*(1+'Допущения'!$B$14)^2</x:f>
        <x:v>7110770.096705625</x:v>
      </x:c>
      <x:c r="O40" s="9" t="n">
        <x:f>K40*'Допущения'!$B$10</x:f>
        <x:v>1789220.500808173</x:v>
      </x:c>
      <x:c r="P40" s="9" t="n">
        <x:f>K40*'Допущения'!$B$12</x:f>
        <x:v>596406.8336027244</x:v>
      </x:c>
      <x:c r="Q40" s="7" t="n">
        <x:f>K40-L40-M40-N40</x:f>
        <x:v>17766167.85669665</x:v>
      </x:c>
      <x:c r="R40" s="7" t="n">
        <x:f>Q40-O40-P40</x:f>
        <x:v>15380540.522285752</x:v>
      </x:c>
      <x:c r="S40" s="7" t="n">
        <x:f>S39+R40</x:f>
        <x:v>215149643.30143467</x:v>
      </x:c>
      <x:c r="T40" s="7" t="n">
        <x:f>IF(S40&gt;=0,A40,999)</x:f>
        <x:v>34</x:v>
      </x:c>
      <x:c r="U40" s="22" t="n">
        <x:f>'Допущения'!C31*'Допущения'!$B$8*B40*'Допущения'!$B$17/'Допущения'!$B$18/'Допущения'!$B$16</x:f>
        <x:v>116.0277349768875</x:v>
      </x:c>
      <x:c r="V40" s="7"/>
      <x:c r="W40" s="7"/>
    </x:row>
    <x:row r="41" ht="23" customHeight="1">
      <x:c r="A41" s="1" t="n">
        <x:v>35</x:v>
      </x:c>
      <x:c r="B41" s="17" t="n">
        <x:f>'Допущения'!C52*'Допущения'!D53</x:f>
        <x:v>1.2203389830508473</x:v>
      </x:c>
      <x:c r="C41" s="9" t="n">
        <x:f>'Допущения'!C31*'Допущения'!$B$8*'Допущения'!D31*$B41*(1+'Допущения'!$B$13)^2</x:f>
        <x:v>15259352.656271184</x:v>
      </x:c>
      <x:c r="D41" s="9" t="n">
        <x:f>'Допущения'!C32*'Допущения'!$B$8*'Допущения'!D32*$B41*(1+'Допущения'!$B$13)^2</x:f>
        <x:v>2649193.1694915253</x:v>
      </x:c>
      <x:c r="E41" s="9" t="n">
        <x:f>'Допущения'!C33*'Допущения'!$B$8*'Допущения'!D33*$B41*(1+'Допущения'!$B$13)^2</x:f>
        <x:v>3242612.4394576265</x:v>
      </x:c>
      <x:c r="F41" s="9" t="n">
        <x:f>'Допущения'!C34*'Допущения'!$B$8*'Допущения'!D34*$B41*(1+'Допущения'!$B$13)^2</x:f>
        <x:v>4238709.07118644</x:v>
      </x:c>
      <x:c r="G41" s="9" t="n">
        <x:f>'Допущения'!C35*'Допущения'!$B$8*'Допущения'!D35*$B41*(1+'Допущения'!$B$13)^2</x:f>
        <x:v>6612386.151050846</x:v>
      </x:c>
      <x:c r="H41" s="9" t="n">
        <x:f>'Допущения'!C36*'Допущения'!$B$8*'Допущения'!D36*$B41*(1+'Допущения'!$B$13)^2</x:f>
        <x:v>762967.6328135593</x:v>
      </x:c>
      <x:c r="I41" s="9" t="n">
        <x:f>'Допущения'!C37*'Допущения'!$B$8*'Допущения'!D37*$B41*(1+'Допущения'!$B$13)^2</x:f>
        <x:v>529838.633898305</x:v>
      </x:c>
      <x:c r="J41" s="7" t="n">
        <x:f>SUM(C41:I41)</x:f>
        <x:v>33295059.754169486</x:v>
      </x:c>
      <x:c r="K41" s="9" t="n">
        <x:f>J41/(1+'Допущения'!$B$9)</x:f>
        <x:v>31116878.27492475</x:v>
      </x:c>
      <x:c r="L41" s="9" t="n">
        <x:f>C41/(1+'Допущения'!$B$9)*'Допущения'!E31+'Допущения'!C31*'Допущения'!$B$8*$B41*'Допущения'!F31*(1+'Допущения'!$B$14)^2+D41/(1+'Допущения'!$B$9)*'Допущения'!E32+'Допущения'!C32*'Допущения'!$B$8*$B41*'Допущения'!F32*(1+'Допущения'!$B$14)^2+E41/(1+'Допущения'!$B$9)*'Допущения'!E33+'Допущения'!C33*'Допущения'!$B$8*$B41*'Допущения'!F33*(1+'Допущения'!$B$14)^2+F41/(1+'Допущения'!$B$9)*'Допущения'!E34+'Допущения'!C34*'Допущения'!$B$8*$B41*'Допущения'!F34*(1+'Допущения'!$B$14)^2+G41/(1+'Допущения'!$B$9)*'Допущения'!E35+'Допущения'!C35*'Допущения'!$B$8*$B41*'Допущения'!F35*(1+'Допущения'!$B$14)^2+H41/(1+'Допущения'!$B$9)*'Допущения'!E36+'Допущения'!C36*'Допущения'!$B$8*$B41*'Допущения'!F36*(1+'Допущения'!$B$14)^2+I41/(1+'Допущения'!$B$9)*'Допущения'!E37+'Допущения'!C37*'Допущения'!$B$8*$B41*'Допущения'!F37*(1+'Допущения'!$B$14)^2</x:f>
        <x:v>4492433.12846507</x:v>
      </x:c>
      <x:c r="M41" s="9" t="n">
        <x:f>J41*'Допущения'!$B$11</x:f>
        <x:v>665901.1950833898</x:v>
      </x:c>
      <x:c r="N41" s="9" t="n">
        <x:f>'Инвестиции'!$C$35*(1+'Допущения'!$B$14)^2</x:f>
        <x:v>7110770.096705625</x:v>
      </x:c>
      <x:c r="O41" s="9" t="n">
        <x:f>K41*'Допущения'!$B$10</x:f>
        <x:v>1867012.696495485</x:v>
      </x:c>
      <x:c r="P41" s="9" t="n">
        <x:f>K41*'Допущения'!$B$12</x:f>
        <x:v>622337.565498495</x:v>
      </x:c>
      <x:c r="Q41" s="7" t="n">
        <x:f>K41-L41-M41-N41</x:f>
        <x:v>18847773.854670666</x:v>
      </x:c>
      <x:c r="R41" s="7" t="n">
        <x:f>Q41-O41-P41</x:f>
        <x:v>16358423.592676686</x:v>
      </x:c>
      <x:c r="S41" s="7" t="n">
        <x:f>S40+R41</x:f>
        <x:v>231508066.89411137</x:v>
      </x:c>
      <x:c r="T41" s="7" t="n">
        <x:f>IF(S41&gt;=0,A41,999)</x:f>
        <x:v>35</x:v>
      </x:c>
      <x:c r="U41" s="22" t="n">
        <x:f>'Допущения'!C31*'Допущения'!$B$8*B41*'Допущения'!$B$17/'Допущения'!$B$18/'Допущения'!$B$16</x:f>
        <x:v>121.07241910631738</x:v>
      </x:c>
      <x:c r="V41" s="7"/>
      <x:c r="W41" s="7"/>
    </x:row>
    <x:row r="42" ht="23" customHeight="1">
      <x:c r="A42" s="1" t="n">
        <x:v>36</x:v>
      </x:c>
      <x:c r="B42" s="17" t="n">
        <x:f>'Допущения'!C53*'Допущения'!D53</x:f>
        <x:v>1.271186440677966</x:v>
      </x:c>
      <x:c r="C42" s="9" t="n">
        <x:f>'Допущения'!C31*'Допущения'!$B$8*'Допущения'!D31*$B42*(1+'Допущения'!$B$13)^2</x:f>
        <x:v>15895159.01694915</x:v>
      </x:c>
      <x:c r="D42" s="9" t="n">
        <x:f>'Допущения'!C32*'Допущения'!$B$8*'Допущения'!D32*$B42*(1+'Допущения'!$B$13)^2</x:f>
        <x:v>2759576.2182203387</x:v>
      </x:c>
      <x:c r="E42" s="9" t="n">
        <x:f>'Допущения'!C33*'Допущения'!$B$8*'Допущения'!D33*$B42*(1+'Допущения'!$B$13)^2</x:f>
        <x:v>3377721.291101695</x:v>
      </x:c>
      <x:c r="F42" s="9" t="n">
        <x:f>'Допущения'!C34*'Допущения'!$B$8*'Допущения'!D34*$B42*(1+'Допущения'!$B$13)^2</x:f>
        <x:v>4415321.949152542</x:v>
      </x:c>
      <x:c r="G42" s="9" t="n">
        <x:f>'Допущения'!C35*'Допущения'!$B$8*'Допущения'!D35*$B42*(1+'Допущения'!$B$13)^2</x:f>
        <x:v>6887902.240677966</x:v>
      </x:c>
      <x:c r="H42" s="9" t="n">
        <x:f>'Допущения'!C36*'Допущения'!$B$8*'Допущения'!D36*$B42*(1+'Допущения'!$B$13)^2</x:f>
        <x:v>794757.9508474575</x:v>
      </x:c>
      <x:c r="I42" s="9" t="n">
        <x:f>'Допущения'!C37*'Допущения'!$B$8*'Допущения'!D37*$B42*(1+'Допущения'!$B$13)^2</x:f>
        <x:v>551915.2436440678</x:v>
      </x:c>
      <x:c r="J42" s="7" t="n">
        <x:f>SUM(C42:I42)</x:f>
        <x:v>34682353.91059321</x:v>
      </x:c>
      <x:c r="K42" s="9" t="n">
        <x:f>J42/(1+'Допущения'!$B$9)</x:f>
        <x:v>32413414.86971328</x:v>
      </x:c>
      <x:c r="L42" s="9" t="n">
        <x:f>C42/(1+'Допущения'!$B$9)*'Допущения'!E31+'Допущения'!C31*'Допущения'!$B$8*$B42*'Допущения'!F31*(1+'Допущения'!$B$14)^2+D42/(1+'Допущения'!$B$9)*'Допущения'!E32+'Допущения'!C32*'Допущения'!$B$8*$B42*'Допущения'!F32*(1+'Допущения'!$B$14)^2+E42/(1+'Допущения'!$B$9)*'Допущения'!E33+'Допущения'!C33*'Допущения'!$B$8*$B42*'Допущения'!F33*(1+'Допущения'!$B$14)^2+F42/(1+'Допущения'!$B$9)*'Допущения'!E34+'Допущения'!C34*'Допущения'!$B$8*$B42*'Допущения'!F34*(1+'Допущения'!$B$14)^2+G42/(1+'Допущения'!$B$9)*'Допущения'!E35+'Допущения'!C35*'Допущения'!$B$8*$B42*'Допущения'!F35*(1+'Допущения'!$B$14)^2+H42/(1+'Допущения'!$B$9)*'Допущения'!E36+'Допущения'!C36*'Допущения'!$B$8*$B42*'Допущения'!F36*(1+'Допущения'!$B$14)^2+I42/(1+'Допущения'!$B$9)*'Допущения'!E37+'Допущения'!C37*'Допущения'!$B$8*$B42*'Допущения'!F37*(1+'Допущения'!$B$14)^2</x:f>
        <x:v>4679617.842151116</x:v>
      </x:c>
      <x:c r="M42" s="9" t="n">
        <x:f>J42*'Допущения'!$B$11</x:f>
        <x:v>693647.0782118642</x:v>
      </x:c>
      <x:c r="N42" s="9" t="n">
        <x:f>'Инвестиции'!$C$35*(1+'Допущения'!$B$14)^2</x:f>
        <x:v>7110770.096705625</x:v>
      </x:c>
      <x:c r="O42" s="9" t="n">
        <x:f>K42*'Допущения'!$B$10</x:f>
        <x:v>1944804.8921827967</x:v>
      </x:c>
      <x:c r="P42" s="9" t="n">
        <x:f>K42*'Допущения'!$B$12</x:f>
        <x:v>648268.2973942657</x:v>
      </x:c>
      <x:c r="Q42" s="7" t="n">
        <x:f>K42-L42-M42-N42</x:f>
        <x:v>19929379.852644674</x:v>
      </x:c>
      <x:c r="R42" s="7" t="n">
        <x:f>Q42-O42-P42</x:f>
        <x:v>17336306.663067613</x:v>
      </x:c>
      <x:c r="S42" s="7" t="n">
        <x:f>S41+R42</x:f>
        <x:v>248844373.55717897</x:v>
      </x:c>
      <x:c r="T42" s="7" t="n">
        <x:f>IF(S42&gt;=0,A42,999)</x:f>
        <x:v>36</x:v>
      </x:c>
      <x:c r="U42" s="22" t="n">
        <x:f>'Допущения'!C31*'Допущения'!$B$8*B42*'Допущения'!$B$17/'Допущения'!$B$18/'Допущения'!$B$16</x:f>
        <x:v>126.11710323574727</x:v>
      </x:c>
      <x:c r="V42" s="7"/>
      <x:c r="W42" s="7"/>
    </x:row>
    <x:row r="43" ht="23" customHeight="1">
      <x:c r="A43" s="1" t="n">
        <x:v>37</x:v>
      </x:c>
      <x:c r="B43" s="17" t="n">
        <x:f>'Допущения'!C42*'Допущения'!D53</x:f>
        <x:v>1.1186440677966103</x:v>
      </x:c>
      <x:c r="C43" s="9" t="n">
        <x:f>'Допущения'!C31*'Допущения'!$B$8*'Допущения'!D31*$B43*(1+'Допущения'!$B$13)^3</x:f>
        <x:v>14407372.132962713</x:v>
      </x:c>
      <x:c r="D43" s="9" t="n">
        <x:f>'Допущения'!C32*'Допущения'!$B$8*'Допущения'!D32*$B43*(1+'Допущения'!$B$13)^3</x:f>
        <x:v>2501279.8841949156</x:v>
      </x:c>
      <x:c r="E43" s="9" t="n">
        <x:f>'Допущения'!C33*'Допущения'!$B$8*'Допущения'!D33*$B43*(1+'Допущения'!$B$13)^3</x:f>
        <x:v>3061566.5782545763</x:v>
      </x:c>
      <x:c r="F43" s="9" t="n">
        <x:f>'Допущения'!C34*'Допущения'!$B$8*'Допущения'!D34*$B43*(1+'Допущения'!$B$13)^3</x:f>
        <x:v>4002047.8147118646</x:v>
      </x:c>
      <x:c r="G43" s="9" t="n">
        <x:f>'Допущения'!C35*'Допущения'!$B$8*'Допущения'!D35*$B43*(1+'Допущения'!$B$13)^3</x:f>
        <x:v>6243194.5909505095</x:v>
      </x:c>
      <x:c r="H43" s="9" t="n">
        <x:f>'Допущения'!C36*'Допущения'!$B$8*'Допущения'!D36*$B43*(1+'Допущения'!$B$13)^3</x:f>
        <x:v>720368.6066481356</x:v>
      </x:c>
      <x:c r="I43" s="9" t="n">
        <x:f>'Допущения'!C37*'Допущения'!$B$8*'Допущения'!D37*$B43*(1+'Допущения'!$B$13)^3</x:f>
        <x:v>500255.9768389831</x:v>
      </x:c>
      <x:c r="J43" s="7" t="n">
        <x:f>SUM(C43:I43)</x:f>
        <x:v>31436085.584561702</x:v>
      </x:c>
      <x:c r="K43" s="9" t="n">
        <x:f>J43/(1+'Допущения'!$B$9)</x:f>
        <x:v>29379519.237908132</x:v>
      </x:c>
      <x:c r="L43" s="9" t="n">
        <x:f>C43/(1+'Допущения'!$B$9)*'Допущения'!E31+'Допущения'!C31*'Допущения'!$B$8*$B43*'Допущения'!F31*(1+'Допущения'!$B$14)^3+D43/(1+'Допущения'!$B$9)*'Допущения'!E32+'Допущения'!C32*'Допущения'!$B$8*$B43*'Допущения'!F32*(1+'Допущения'!$B$14)^3+E43/(1+'Допущения'!$B$9)*'Допущения'!E33+'Допущения'!C33*'Допущения'!$B$8*$B43*'Допущения'!F33*(1+'Допущения'!$B$14)^3+F43/(1+'Допущения'!$B$9)*'Допущения'!E34+'Допущения'!C34*'Допущения'!$B$8*$B43*'Допущения'!F34*(1+'Допущения'!$B$14)^3+G43/(1+'Допущения'!$B$9)*'Допущения'!E35+'Допущения'!C35*'Допущения'!$B$8*$B43*'Допущения'!F35*(1+'Допущения'!$B$14)^3+H43/(1+'Допущения'!$B$9)*'Допущения'!E36+'Допущения'!C36*'Допущения'!$B$8*$B43*'Допущения'!F36*(1+'Допущения'!$B$14)^3+I43/(1+'Допущения'!$B$9)*'Допущения'!E37+'Допущения'!C37*'Допущения'!$B$8*$B43*'Допущения'!F37*(1+'Допущения'!$B$14)^3</x:f>
        <x:v>4243624.532549501</x:v>
      </x:c>
      <x:c r="M43" s="9" t="n">
        <x:f>J43*'Допущения'!$B$11</x:f>
        <x:v>628721.711691234</x:v>
      </x:c>
      <x:c r="N43" s="9" t="n">
        <x:f>'Инвестиции'!$C$35*(1+'Допущения'!$B$14)^3</x:f>
        <x:v>7466308.601540906</x:v>
      </x:c>
      <x:c r="O43" s="9" t="n">
        <x:f>K43*'Допущения'!$B$10</x:f>
        <x:v>1762771.1542744879</x:v>
      </x:c>
      <x:c r="P43" s="9" t="n">
        <x:f>K43*'Допущения'!$B$12</x:f>
        <x:v>587590.3847581627</x:v>
      </x:c>
      <x:c r="Q43" s="7" t="n">
        <x:f>K43-L43-M43-N43</x:f>
        <x:v>17040864.392126493</x:v>
      </x:c>
      <x:c r="R43" s="7" t="n">
        <x:f>Q43-O43-P43</x:f>
        <x:v>14690502.853093842</x:v>
      </x:c>
      <x:c r="S43" s="7" t="n">
        <x:f>S42+R43</x:f>
        <x:v>263534876.4102728</x:v>
      </x:c>
      <x:c r="T43" s="7" t="n">
        <x:f>IF(S43&gt;=0,A43,999)</x:f>
        <x:v>37</x:v>
      </x:c>
      <x:c r="U43" s="22" t="n">
        <x:f>'Допущения'!C31*'Допущения'!$B$8*B43*'Допущения'!$B$17/'Допущения'!$B$18/'Допущения'!$B$16</x:f>
        <x:v>110.98305084745762</x:v>
      </x:c>
      <x:c r="V43" s="7"/>
      <x:c r="W43" s="7"/>
    </x:row>
    <x:row r="44" ht="23" customHeight="1">
      <x:c r="A44" s="1" t="n">
        <x:v>38</x:v>
      </x:c>
      <x:c r="B44" s="17" t="n">
        <x:f>'Допущения'!C43*'Допущения'!D53</x:f>
        <x:v>1.0677966101694916</x:v>
      </x:c>
      <x:c r="C44" s="9" t="n">
        <x:f>'Допущения'!C31*'Допущения'!$B$8*'Допущения'!D31*$B44*(1+'Допущения'!$B$13)^3</x:f>
        <x:v>13752491.581464406</x:v>
      </x:c>
      <x:c r="D44" s="9" t="n">
        <x:f>'Допущения'!C32*'Допущения'!$B$8*'Допущения'!D32*$B44*(1+'Допущения'!$B$13)^3</x:f>
        <x:v>2387585.3440042376</x:v>
      </x:c>
      <x:c r="E44" s="9" t="n">
        <x:f>'Допущения'!C33*'Допущения'!$B$8*'Допущения'!D33*$B44*(1+'Допущения'!$B$13)^3</x:f>
        <x:v>2922404.4610611866</x:v>
      </x:c>
      <x:c r="F44" s="9" t="n">
        <x:f>'Допущения'!C34*'Допущения'!$B$8*'Допущения'!D34*$B44*(1+'Допущения'!$B$13)^3</x:f>
        <x:v>3820136.55040678</x:v>
      </x:c>
      <x:c r="G44" s="9" t="n">
        <x:f>'Допущения'!C35*'Допущения'!$B$8*'Допущения'!D35*$B44*(1+'Допущения'!$B$13)^3</x:f>
        <x:v>5959413.018634576</x:v>
      </x:c>
      <x:c r="H44" s="9" t="n">
        <x:f>'Допущения'!C36*'Допущения'!$B$8*'Допущения'!D36*$B44*(1+'Допущения'!$B$13)^3</x:f>
        <x:v>687624.5790732204</x:v>
      </x:c>
      <x:c r="I44" s="9" t="n">
        <x:f>'Допущения'!C37*'Допущения'!$B$8*'Допущения'!D37*$B44*(1+'Допущения'!$B$13)^3</x:f>
        <x:v>477517.0688008475</x:v>
      </x:c>
      <x:c r="J44" s="7" t="n">
        <x:f>SUM(C44:I44)</x:f>
        <x:v>30007172.603445254</x:v>
      </x:c>
      <x:c r="K44" s="9" t="n">
        <x:f>J44/(1+'Допущения'!$B$9)</x:f>
        <x:v>28044086.545275938</x:v>
      </x:c>
      <x:c r="L44" s="9" t="n">
        <x:f>C44/(1+'Допущения'!$B$9)*'Допущения'!E31+'Допущения'!C31*'Допущения'!$B$8*$B44*'Допущения'!F31*(1+'Допущения'!$B$14)^3+D44/(1+'Допущения'!$B$9)*'Допущения'!E32+'Допущения'!C32*'Допущения'!$B$8*$B44*'Допущения'!F32*(1+'Допущения'!$B$14)^3+E44/(1+'Допущения'!$B$9)*'Допущения'!E33+'Допущения'!C33*'Допущения'!$B$8*$B44*'Допущения'!F33*(1+'Допущения'!$B$14)^3+F44/(1+'Допущения'!$B$9)*'Допущения'!E34+'Допущения'!C34*'Допущения'!$B$8*$B44*'Допущения'!F34*(1+'Допущения'!$B$14)^3+G44/(1+'Допущения'!$B$9)*'Допущения'!E35+'Допущения'!C35*'Допущения'!$B$8*$B44*'Допущения'!F35*(1+'Допущения'!$B$14)^3+H44/(1+'Допущения'!$B$9)*'Допущения'!E36+'Допущения'!C36*'Допущения'!$B$8*$B44*'Допущения'!F36*(1+'Допущения'!$B$14)^3+I44/(1+'Допущения'!$B$9)*'Допущения'!E37+'Допущения'!C37*'Допущения'!$B$8*$B44*'Допущения'!F37*(1+'Допущения'!$B$14)^3</x:f>
        <x:v>4050732.508342705</x:v>
      </x:c>
      <x:c r="M44" s="9" t="n">
        <x:f>J44*'Допущения'!$B$11</x:f>
        <x:v>600143.4520689051</x:v>
      </x:c>
      <x:c r="N44" s="9" t="n">
        <x:f>'Инвестиции'!$C$35*(1+'Допущения'!$B$14)^3</x:f>
        <x:v>7466308.601540906</x:v>
      </x:c>
      <x:c r="O44" s="9" t="n">
        <x:f>K44*'Допущения'!$B$10</x:f>
        <x:v>1682645.1927165561</x:v>
      </x:c>
      <x:c r="P44" s="9" t="n">
        <x:f>K44*'Допущения'!$B$12</x:f>
        <x:v>560881.7309055188</x:v>
      </x:c>
      <x:c r="Q44" s="7" t="n">
        <x:f>K44-L44-M44-N44</x:f>
        <x:v>15926901.98332342</x:v>
      </x:c>
      <x:c r="R44" s="7" t="n">
        <x:f>Q44-O44-P44</x:f>
        <x:v>13683375.059701346</x:v>
      </x:c>
      <x:c r="S44" s="7" t="n">
        <x:f>S43+R44</x:f>
        <x:v>277218251.46997416</x:v>
      </x:c>
      <x:c r="T44" s="7" t="n">
        <x:f>IF(S44&gt;=0,A44,999)</x:f>
        <x:v>38</x:v>
      </x:c>
      <x:c r="U44" s="22" t="n">
        <x:f>'Допущения'!C31*'Допущения'!$B$8*B44*'Допущения'!$B$17/'Допущения'!$B$18/'Допущения'!$B$16</x:f>
        <x:v>105.93836671802774</x:v>
      </x:c>
      <x:c r="V44" s="7"/>
      <x:c r="W44" s="7"/>
    </x:row>
    <x:row r="45" ht="23" customHeight="1">
      <x:c r="A45" s="1" t="n">
        <x:v>39</x:v>
      </x:c>
      <x:c r="B45" s="17" t="n">
        <x:f>'Допущения'!C44*'Допущения'!D53</x:f>
        <x:v>1.0169491525423728</x:v>
      </x:c>
      <x:c r="C45" s="9" t="n">
        <x:f>'Допущения'!C31*'Допущения'!$B$8*'Допущения'!D31*$B45*(1+'Допущения'!$B$13)^3</x:f>
        <x:v>13097611.029966101</x:v>
      </x:c>
      <x:c r="D45" s="9" t="n">
        <x:f>'Допущения'!C32*'Допущения'!$B$8*'Допущения'!D32*$B45*(1+'Допущения'!$B$13)^3</x:f>
        <x:v>2273890.803813559</x:v>
      </x:c>
      <x:c r="E45" s="9" t="n">
        <x:f>'Допущения'!C33*'Допущения'!$B$8*'Допущения'!D33*$B45*(1+'Допущения'!$B$13)^3</x:f>
        <x:v>2783242.3438677965</x:v>
      </x:c>
      <x:c r="F45" s="9" t="n">
        <x:f>'Допущения'!C34*'Допущения'!$B$8*'Допущения'!D34*$B45*(1+'Допущения'!$B$13)^3</x:f>
        <x:v>3638225.286101695</x:v>
      </x:c>
      <x:c r="G45" s="9" t="n">
        <x:f>'Допущения'!C35*'Допущения'!$B$8*'Допущения'!D35*$B45*(1+'Допущения'!$B$13)^3</x:f>
        <x:v>5675631.446318644</x:v>
      </x:c>
      <x:c r="H45" s="9" t="n">
        <x:f>'Допущения'!C36*'Допущения'!$B$8*'Допущения'!D36*$B45*(1+'Допущения'!$B$13)^3</x:f>
        <x:v>654880.551498305</x:v>
      </x:c>
      <x:c r="I45" s="9" t="n">
        <x:f>'Допущения'!C37*'Допущения'!$B$8*'Допущения'!D37*$B45*(1+'Допущения'!$B$13)^3</x:f>
        <x:v>454778.1607627119</x:v>
      </x:c>
      <x:c r="J45" s="7" t="n">
        <x:f>SUM(C45:I45)</x:f>
        <x:v>28578259.622328814</x:v>
      </x:c>
      <x:c r="K45" s="9" t="n">
        <x:f>J45/(1+'Допущения'!$B$9)</x:f>
        <x:v>26708653.85264375</x:v>
      </x:c>
      <x:c r="L45" s="9" t="n">
        <x:f>C45/(1+'Допущения'!$B$9)*'Допущения'!E31+'Допущения'!C31*'Допущения'!$B$8*$B45*'Допущения'!F31*(1+'Допущения'!$B$14)^3+D45/(1+'Допущения'!$B$9)*'Допущения'!E32+'Допущения'!C32*'Допущения'!$B$8*$B45*'Допущения'!F32*(1+'Допущения'!$B$14)^3+E45/(1+'Допущения'!$B$9)*'Допущения'!E33+'Допущения'!C33*'Допущения'!$B$8*$B45*'Допущения'!F33*(1+'Допущения'!$B$14)^3+F45/(1+'Допущения'!$B$9)*'Допущения'!E34+'Допущения'!C34*'Допущения'!$B$8*$B45*'Допущения'!F34*(1+'Допущения'!$B$14)^3+G45/(1+'Допущения'!$B$9)*'Допущения'!E35+'Допущения'!C35*'Допущения'!$B$8*$B45*'Допущения'!F35*(1+'Допущения'!$B$14)^3+H45/(1+'Допущения'!$B$9)*'Допущения'!E36+'Допущения'!C36*'Допущения'!$B$8*$B45*'Допущения'!F36*(1+'Допущения'!$B$14)^3+I45/(1+'Допущения'!$B$9)*'Допущения'!E37+'Допущения'!C37*'Допущения'!$B$8*$B45*'Допущения'!F37*(1+'Допущения'!$B$14)^3</x:f>
        <x:v>3857840.48413591</x:v>
      </x:c>
      <x:c r="M45" s="9" t="n">
        <x:f>J45*'Допущения'!$B$11</x:f>
        <x:v>571565.1924465763</x:v>
      </x:c>
      <x:c r="N45" s="9" t="n">
        <x:f>'Инвестиции'!$C$35*(1+'Допущения'!$B$14)^3</x:f>
        <x:v>7466308.601540906</x:v>
      </x:c>
      <x:c r="O45" s="9" t="n">
        <x:f>K45*'Допущения'!$B$10</x:f>
        <x:v>1602519.2311586249</x:v>
      </x:c>
      <x:c r="P45" s="9" t="n">
        <x:f>K45*'Допущения'!$B$12</x:f>
        <x:v>534173.0770528751</x:v>
      </x:c>
      <x:c r="Q45" s="7" t="n">
        <x:f>K45-L45-M45-N45</x:f>
        <x:v>14812939.574520359</x:v>
      </x:c>
      <x:c r="R45" s="7" t="n">
        <x:f>Q45-O45-P45</x:f>
        <x:v>12676247.266308859</x:v>
      </x:c>
      <x:c r="S45" s="7" t="n">
        <x:f>S44+R45</x:f>
        <x:v>289894498.736283</x:v>
      </x:c>
      <x:c r="T45" s="7" t="n">
        <x:f>IF(S45&gt;=0,A45,999)</x:f>
        <x:v>39</x:v>
      </x:c>
      <x:c r="U45" s="22" t="n">
        <x:f>'Допущения'!C31*'Допущения'!$B$8*B45*'Допущения'!$B$17/'Допущения'!$B$18/'Допущения'!$B$16</x:f>
        <x:v>100.89368258859783</x:v>
      </x:c>
      <x:c r="V45" s="7"/>
      <x:c r="W45" s="7"/>
    </x:row>
    <x:row r="46" ht="23" customHeight="1">
      <x:c r="A46" s="1" t="n">
        <x:v>40</x:v>
      </x:c>
      <x:c r="B46" s="17" t="n">
        <x:f>'Допущения'!C45*'Допущения'!D53</x:f>
        <x:v>0.9152542372881356</x:v>
      </x:c>
      <x:c r="C46" s="9" t="n">
        <x:f>'Допущения'!C31*'Допущения'!$B$8*'Допущения'!D31*$B46*(1+'Допущения'!$B$13)^3</x:f>
        <x:v>11787849.926969491</x:v>
      </x:c>
      <x:c r="D46" s="9" t="n">
        <x:f>'Допущения'!C32*'Допущения'!$B$8*'Допущения'!D32*$B46*(1+'Допущения'!$B$13)^3</x:f>
        <x:v>2046501.7234322033</x:v>
      </x:c>
      <x:c r="E46" s="9" t="n">
        <x:f>'Допущения'!C33*'Допущения'!$B$8*'Допущения'!D33*$B46*(1+'Допущения'!$B$13)^3</x:f>
        <x:v>2504918.1094810166</x:v>
      </x:c>
      <x:c r="F46" s="9" t="n">
        <x:f>'Допущения'!C34*'Допущения'!$B$8*'Допущения'!D34*$B46*(1+'Допущения'!$B$13)^3</x:f>
        <x:v>3274402.7574915257</x:v>
      </x:c>
      <x:c r="G46" s="9" t="n">
        <x:f>'Допущения'!C35*'Допущения'!$B$8*'Допущения'!D35*$B46*(1+'Допущения'!$B$13)^3</x:f>
        <x:v>5108068.30168678</x:v>
      </x:c>
      <x:c r="H46" s="9" t="n">
        <x:f>'Допущения'!C36*'Допущения'!$B$8*'Допущения'!D36*$B46*(1+'Допущения'!$B$13)^3</x:f>
        <x:v>589392.4963484746</x:v>
      </x:c>
      <x:c r="I46" s="9" t="n">
        <x:f>'Допущения'!C37*'Допущения'!$B$8*'Допущения'!D37*$B46*(1+'Допущения'!$B$13)^3</x:f>
        <x:v>409300.3446864407</x:v>
      </x:c>
      <x:c r="J46" s="7" t="n">
        <x:f>SUM(C46:I46)</x:f>
        <x:v>25720433.66009593</x:v>
      </x:c>
      <x:c r="K46" s="9" t="n">
        <x:f>J46/(1+'Допущения'!$B$9)</x:f>
        <x:v>24037788.467379373</x:v>
      </x:c>
      <x:c r="L46" s="9" t="n">
        <x:f>C46/(1+'Допущения'!$B$9)*'Допущения'!E31+'Допущения'!C31*'Допущения'!$B$8*$B46*'Допущения'!F31*(1+'Допущения'!$B$14)^3+D46/(1+'Допущения'!$B$9)*'Допущения'!E32+'Допущения'!C32*'Допущения'!$B$8*$B46*'Допущения'!F32*(1+'Допущения'!$B$14)^3+E46/(1+'Допущения'!$B$9)*'Допущения'!E33+'Допущения'!C33*'Допущения'!$B$8*$B46*'Допущения'!F33*(1+'Допущения'!$B$14)^3+F46/(1+'Допущения'!$B$9)*'Допущения'!E34+'Допущения'!C34*'Допущения'!$B$8*$B46*'Допущения'!F34*(1+'Допущения'!$B$14)^3+G46/(1+'Допущения'!$B$9)*'Допущения'!E35+'Допущения'!C35*'Допущения'!$B$8*$B46*'Допущения'!F35*(1+'Допущения'!$B$14)^3+H46/(1+'Допущения'!$B$9)*'Допущения'!E36+'Допущения'!C36*'Допущения'!$B$8*$B46*'Допущения'!F36*(1+'Допущения'!$B$14)^3+I46/(1+'Допущения'!$B$9)*'Допущения'!E37+'Допущения'!C37*'Допущения'!$B$8*$B46*'Допущения'!F37*(1+'Допущения'!$B$14)^3</x:f>
        <x:v>3472056.435722319</x:v>
      </x:c>
      <x:c r="M46" s="9" t="n">
        <x:f>J46*'Допущения'!$B$11</x:f>
        <x:v>514408.6732019186</x:v>
      </x:c>
      <x:c r="N46" s="9" t="n">
        <x:f>'Инвестиции'!$C$35*(1+'Допущения'!$B$14)^3</x:f>
        <x:v>7466308.601540906</x:v>
      </x:c>
      <x:c r="O46" s="9" t="n">
        <x:f>K46*'Допущения'!$B$10</x:f>
        <x:v>1442267.3080427623</x:v>
      </x:c>
      <x:c r="P46" s="9" t="n">
        <x:f>K46*'Допущения'!$B$12</x:f>
        <x:v>480755.7693475875</x:v>
      </x:c>
      <x:c r="Q46" s="7" t="n">
        <x:f>K46-L46-M46-N46</x:f>
        <x:v>12585014.75691423</x:v>
      </x:c>
      <x:c r="R46" s="7" t="n">
        <x:f>Q46-O46-P46</x:f>
        <x:v>10661991.67952388</x:v>
      </x:c>
      <x:c r="S46" s="7" t="n">
        <x:f>S45+R46</x:f>
        <x:v>300556490.4158069</x:v>
      </x:c>
      <x:c r="T46" s="7" t="n">
        <x:f>IF(S46&gt;=0,A46,999)</x:f>
        <x:v>40</x:v>
      </x:c>
      <x:c r="U46" s="22" t="n">
        <x:f>'Допущения'!C31*'Допущения'!$B$8*B46*'Допущения'!$B$17/'Допущения'!$B$18/'Допущения'!$B$16</x:f>
        <x:v>90.80431432973805</x:v>
      </x:c>
      <x:c r="V46" s="7"/>
      <x:c r="W46" s="7"/>
    </x:row>
    <x:row r="47" ht="23" customHeight="1">
      <x:c r="A47" s="1" t="n">
        <x:v>41</x:v>
      </x:c>
      <x:c r="B47" s="17" t="n">
        <x:f>'Допущения'!C46*'Допущения'!D53</x:f>
        <x:v>0.8644067796610169</x:v>
      </x:c>
      <x:c r="C47" s="9" t="n">
        <x:f>'Допущения'!C31*'Допущения'!$B$8*'Допущения'!D31*$B47*(1+'Допущения'!$B$13)^3</x:f>
        <x:v>11132969.375471184</x:v>
      </x:c>
      <x:c r="D47" s="9" t="n">
        <x:f>'Допущения'!C32*'Допущения'!$B$8*'Допущения'!D32*$B47*(1+'Допущения'!$B$13)^3</x:f>
        <x:v>1932807.1832415252</x:v>
      </x:c>
      <x:c r="E47" s="9" t="n">
        <x:f>'Допущения'!C33*'Допущения'!$B$8*'Допущения'!D33*$B47*(1+'Допущения'!$B$13)^3</x:f>
        <x:v>2365755.992287627</x:v>
      </x:c>
      <x:c r="F47" s="9" t="n">
        <x:f>'Допущения'!C34*'Допущения'!$B$8*'Допущения'!D34*$B47*(1+'Допущения'!$B$13)^3</x:f>
        <x:v>3092491.4931864403</x:v>
      </x:c>
      <x:c r="G47" s="9" t="n">
        <x:f>'Допущения'!C35*'Допущения'!$B$8*'Допущения'!D35*$B47*(1+'Допущения'!$B$13)^3</x:f>
        <x:v>4824286.729370847</x:v>
      </x:c>
      <x:c r="H47" s="9" t="n">
        <x:f>'Допущения'!C36*'Допущения'!$B$8*'Допущения'!D36*$B47*(1+'Допущения'!$B$13)^3</x:f>
        <x:v>556648.4687735593</x:v>
      </x:c>
      <x:c r="I47" s="9" t="n">
        <x:f>'Допущения'!C37*'Допущения'!$B$8*'Допущения'!D37*$B47*(1+'Допущения'!$B$13)^3</x:f>
        <x:v>386561.43664830504</x:v>
      </x:c>
      <x:c r="J47" s="7" t="n">
        <x:f>SUM(C47:I47)</x:f>
        <x:v>24291520.67897949</x:v>
      </x:c>
      <x:c r="K47" s="9" t="n">
        <x:f>J47/(1+'Допущения'!$B$9)</x:f>
        <x:v>22702355.774747185</x:v>
      </x:c>
      <x:c r="L47" s="9" t="n">
        <x:f>C47/(1+'Допущения'!$B$9)*'Допущения'!E31+'Допущения'!C31*'Допущения'!$B$8*$B47*'Допущения'!F31*(1+'Допущения'!$B$14)^3+D47/(1+'Допущения'!$B$9)*'Допущения'!E32+'Допущения'!C32*'Допущения'!$B$8*$B47*'Допущения'!F32*(1+'Допущения'!$B$14)^3+E47/(1+'Допущения'!$B$9)*'Допущения'!E33+'Допущения'!C33*'Допущения'!$B$8*$B47*'Допущения'!F33*(1+'Допущения'!$B$14)^3+F47/(1+'Допущения'!$B$9)*'Допущения'!E34+'Допущения'!C34*'Допущения'!$B$8*$B47*'Допущения'!F34*(1+'Допущения'!$B$14)^3+G47/(1+'Допущения'!$B$9)*'Допущения'!E35+'Допущения'!C35*'Допущения'!$B$8*$B47*'Допущения'!F35*(1+'Допущения'!$B$14)^3+H47/(1+'Допущения'!$B$9)*'Допущения'!E36+'Допущения'!C36*'Допущения'!$B$8*$B47*'Допущения'!F36*(1+'Допущения'!$B$14)^3+I47/(1+'Допущения'!$B$9)*'Допущения'!E37+'Допущения'!C37*'Допущения'!$B$8*$B47*'Допущения'!F37*(1+'Допущения'!$B$14)^3</x:f>
        <x:v>3279164.4115155227</x:v>
      </x:c>
      <x:c r="M47" s="9" t="n">
        <x:f>J47*'Допущения'!$B$11</x:f>
        <x:v>485830.4135795898</x:v>
      </x:c>
      <x:c r="N47" s="9" t="n">
        <x:f>'Инвестиции'!$C$35*(1+'Допущения'!$B$14)^3</x:f>
        <x:v>7466308.601540906</x:v>
      </x:c>
      <x:c r="O47" s="9" t="n">
        <x:f>K47*'Допущения'!$B$10</x:f>
        <x:v>1362141.346484831</x:v>
      </x:c>
      <x:c r="P47" s="9" t="n">
        <x:f>K47*'Допущения'!$B$12</x:f>
        <x:v>454047.1154949437</x:v>
      </x:c>
      <x:c r="Q47" s="7" t="n">
        <x:f>K47-L47-M47-N47</x:f>
        <x:v>11471052.348111166</x:v>
      </x:c>
      <x:c r="R47" s="7" t="n">
        <x:f>Q47-O47-P47</x:f>
        <x:v>9654863.88613139</x:v>
      </x:c>
      <x:c r="S47" s="7" t="n">
        <x:f>S46+R47</x:f>
        <x:v>310211354.3019383</x:v>
      </x:c>
      <x:c r="T47" s="7" t="n">
        <x:f>IF(S47&gt;=0,A47,999)</x:f>
        <x:v>41</x:v>
      </x:c>
      <x:c r="U47" s="22" t="n">
        <x:f>'Допущения'!C31*'Допущения'!$B$8*B47*'Допущения'!$B$17/'Допущения'!$B$18/'Допущения'!$B$16</x:f>
        <x:v>85.75963020030815</x:v>
      </x:c>
      <x:c r="V47" s="7"/>
      <x:c r="W47" s="7"/>
    </x:row>
    <x:row r="48" ht="23" customHeight="1">
      <x:c r="A48" s="1" t="n">
        <x:v>42</x:v>
      </x:c>
      <x:c r="B48" s="17" t="n">
        <x:f>'Допущения'!C47*'Допущения'!D53</x:f>
        <x:v>0.7118644067796609</x:v>
      </x:c>
      <x:c r="C48" s="9" t="n">
        <x:f>'Допущения'!C31*'Допущения'!$B$8*'Допущения'!D31*$B48*(1+'Допущения'!$B$13)^3</x:f>
        <x:v>9168327.72097627</x:v>
      </x:c>
      <x:c r="D48" s="9" t="n">
        <x:f>'Допущения'!C32*'Допущения'!$B$8*'Допущения'!D32*$B48*(1+'Допущения'!$B$13)^3</x:f>
        <x:v>1591723.5626694914</x:v>
      </x:c>
      <x:c r="E48" s="9" t="n">
        <x:f>'Допущения'!C33*'Допущения'!$B$8*'Допущения'!D33*$B48*(1+'Допущения'!$B$13)^3</x:f>
        <x:v>1948269.6407074572</x:v>
      </x:c>
      <x:c r="F48" s="9" t="n">
        <x:f>'Допущения'!C34*'Допущения'!$B$8*'Допущения'!D34*$B48*(1+'Допущения'!$B$13)^3</x:f>
        <x:v>2546757.700271186</x:v>
      </x:c>
      <x:c r="G48" s="9" t="n">
        <x:f>'Допущения'!C35*'Допущения'!$B$8*'Допущения'!D35*$B48*(1+'Допущения'!$B$13)^3</x:f>
        <x:v>3972942.01242305</x:v>
      </x:c>
      <x:c r="H48" s="9" t="n">
        <x:f>'Допущения'!C36*'Допущения'!$B$8*'Допущения'!D36*$B48*(1+'Допущения'!$B$13)^3</x:f>
        <x:v>458416.38604881347</x:v>
      </x:c>
      <x:c r="I48" s="9" t="n">
        <x:f>'Допущения'!C37*'Допущения'!$B$8*'Допущения'!D37*$B48*(1+'Допущения'!$B$13)^3</x:f>
        <x:v>318344.71253389824</x:v>
      </x:c>
      <x:c r="J48" s="7" t="n">
        <x:f>SUM(C48:I48)</x:f>
        <x:v>20004781.735630166</x:v>
      </x:c>
      <x:c r="K48" s="9" t="n">
        <x:f>J48/(1+'Допущения'!$B$9)</x:f>
        <x:v>18696057.69685062</x:v>
      </x:c>
      <x:c r="L48" s="9" t="n">
        <x:f>C48/(1+'Допущения'!$B$9)*'Допущения'!E31+'Допущения'!C31*'Допущения'!$B$8*$B48*'Допущения'!F31*(1+'Допущения'!$B$14)^3+D48/(1+'Допущения'!$B$9)*'Допущения'!E32+'Допущения'!C32*'Допущения'!$B$8*$B48*'Допущения'!F32*(1+'Допущения'!$B$14)^3+E48/(1+'Допущения'!$B$9)*'Допущения'!E33+'Допущения'!C33*'Допущения'!$B$8*$B48*'Допущения'!F33*(1+'Допущения'!$B$14)^3+F48/(1+'Допущения'!$B$9)*'Допущения'!E34+'Допущения'!C34*'Допущения'!$B$8*$B48*'Допущения'!F34*(1+'Допущения'!$B$14)^3+G48/(1+'Допущения'!$B$9)*'Допущения'!E35+'Допущения'!C35*'Допущения'!$B$8*$B48*'Допущения'!F35*(1+'Допущения'!$B$14)^3+H48/(1+'Допущения'!$B$9)*'Допущения'!E36+'Допущения'!C36*'Допущения'!$B$8*$B48*'Допущения'!F36*(1+'Допущения'!$B$14)^3+I48/(1+'Допущения'!$B$9)*'Допущения'!E37+'Допущения'!C37*'Допущения'!$B$8*$B48*'Допущения'!F37*(1+'Допущения'!$B$14)^3</x:f>
        <x:v>2700488.3388951365</x:v>
      </x:c>
      <x:c r="M48" s="9" t="n">
        <x:f>J48*'Допущения'!$B$11</x:f>
        <x:v>400095.63471260335</x:v>
      </x:c>
      <x:c r="N48" s="9" t="n">
        <x:f>'Инвестиции'!$C$35*(1+'Допущения'!$B$14)^3</x:f>
        <x:v>7466308.601540906</x:v>
      </x:c>
      <x:c r="O48" s="9" t="n">
        <x:f>K48*'Допущения'!$B$10</x:f>
        <x:v>1121763.4618110373</x:v>
      </x:c>
      <x:c r="P48" s="9" t="n">
        <x:f>K48*'Допущения'!$B$12</x:f>
        <x:v>373921.1539370124</x:v>
      </x:c>
      <x:c r="Q48" s="7" t="n">
        <x:f>K48-L48-M48-N48</x:f>
        <x:v>8129165.121701974</x:v>
      </x:c>
      <x:c r="R48" s="7" t="n">
        <x:f>Q48-O48-P48</x:f>
        <x:v>6633480.505953925</x:v>
      </x:c>
      <x:c r="S48" s="7" t="n">
        <x:f>S47+R48</x:f>
        <x:v>316844834.8078922</x:v>
      </x:c>
      <x:c r="T48" s="7" t="n">
        <x:f>IF(S48&gt;=0,A48,999)</x:f>
        <x:v>42</x:v>
      </x:c>
      <x:c r="U48" s="22" t="n">
        <x:f>'Допущения'!C31*'Допущения'!$B$8*B48*'Допущения'!$B$17/'Допущения'!$B$18/'Допущения'!$B$16</x:f>
        <x:v>70.62557781201848</x:v>
      </x:c>
      <x:c r="V48" s="7"/>
      <x:c r="W48" s="7"/>
    </x:row>
    <x:row r="49" ht="23" customHeight="1">
      <x:c r="A49" s="1" t="n">
        <x:v>43</x:v>
      </x:c>
      <x:c r="B49" s="17" t="n">
        <x:f>'Допущения'!C48*'Допущения'!D53</x:f>
        <x:v>0.7627118644067796</x:v>
      </x:c>
      <x:c r="C49" s="9" t="n">
        <x:f>'Допущения'!C31*'Допущения'!$B$8*'Допущения'!D31*$B49*(1+'Допущения'!$B$13)^3</x:f>
        <x:v>9823208.272474576</x:v>
      </x:c>
      <x:c r="D49" s="9" t="n">
        <x:f>'Допущения'!C32*'Допущения'!$B$8*'Допущения'!D32*$B49*(1+'Допущения'!$B$13)^3</x:f>
        <x:v>1705418.1028601693</x:v>
      </x:c>
      <x:c r="E49" s="9" t="n">
        <x:f>'Допущения'!C33*'Допущения'!$B$8*'Допущения'!D33*$B49*(1+'Допущения'!$B$13)^3</x:f>
        <x:v>2087431.7579008476</x:v>
      </x:c>
      <x:c r="F49" s="9" t="n">
        <x:f>'Допущения'!C34*'Допущения'!$B$8*'Допущения'!D34*$B49*(1+'Допущения'!$B$13)^3</x:f>
        <x:v>2728668.964576271</x:v>
      </x:c>
      <x:c r="G49" s="9" t="n">
        <x:f>'Допущения'!C35*'Допущения'!$B$8*'Допущения'!D35*$B49*(1+'Допущения'!$B$13)^3</x:f>
        <x:v>4256723.584738983</x:v>
      </x:c>
      <x:c r="H49" s="9" t="n">
        <x:f>'Допущения'!C36*'Допущения'!$B$8*'Допущения'!D36*$B49*(1+'Допущения'!$B$13)^3</x:f>
        <x:v>491160.4136237288</x:v>
      </x:c>
      <x:c r="I49" s="9" t="n">
        <x:f>'Допущения'!C37*'Допущения'!$B$8*'Допущения'!D37*$B49*(1+'Допущения'!$B$13)^3</x:f>
        <x:v>341083.62057203386</x:v>
      </x:c>
      <x:c r="J49" s="7" t="n">
        <x:f>SUM(C49:I49)</x:f>
        <x:v>21433694.71674661</x:v>
      </x:c>
      <x:c r="K49" s="9" t="n">
        <x:f>J49/(1+'Допущения'!$B$9)</x:f>
        <x:v>20031490.38948281</x:v>
      </x:c>
      <x:c r="L49" s="9" t="n">
        <x:f>C49/(1+'Допущения'!$B$9)*'Допущения'!E31+'Допущения'!C31*'Допущения'!$B$8*$B49*'Допущения'!F31*(1+'Допущения'!$B$14)^3+D49/(1+'Допущения'!$B$9)*'Допущения'!E32+'Допущения'!C32*'Допущения'!$B$8*$B49*'Допущения'!F32*(1+'Допущения'!$B$14)^3+E49/(1+'Допущения'!$B$9)*'Допущения'!E33+'Допущения'!C33*'Допущения'!$B$8*$B49*'Допущения'!F33*(1+'Допущения'!$B$14)^3+F49/(1+'Допущения'!$B$9)*'Допущения'!E34+'Допущения'!C34*'Допущения'!$B$8*$B49*'Допущения'!F34*(1+'Допущения'!$B$14)^3+G49/(1+'Допущения'!$B$9)*'Допущения'!E35+'Допущения'!C35*'Допущения'!$B$8*$B49*'Допущения'!F35*(1+'Допущения'!$B$14)^3+H49/(1+'Допущения'!$B$9)*'Допущения'!E36+'Допущения'!C36*'Допущения'!$B$8*$B49*'Допущения'!F36*(1+'Допущения'!$B$14)^3+I49/(1+'Допущения'!$B$9)*'Допущения'!E37+'Допущения'!C37*'Допущения'!$B$8*$B49*'Допущения'!F37*(1+'Допущения'!$B$14)^3</x:f>
        <x:v>2893380.363101932</x:v>
      </x:c>
      <x:c r="M49" s="9" t="n">
        <x:f>J49*'Допущения'!$B$11</x:f>
        <x:v>428673.8943349322</x:v>
      </x:c>
      <x:c r="N49" s="9" t="n">
        <x:f>'Инвестиции'!$C$35*(1+'Допущения'!$B$14)^3</x:f>
        <x:v>7466308.601540906</x:v>
      </x:c>
      <x:c r="O49" s="9" t="n">
        <x:f>K49*'Допущения'!$B$10</x:f>
        <x:v>1201889.4233689685</x:v>
      </x:c>
      <x:c r="P49" s="9" t="n">
        <x:f>K49*'Допущения'!$B$12</x:f>
        <x:v>400629.8077896562</x:v>
      </x:c>
      <x:c r="Q49" s="7" t="n">
        <x:f>K49-L49-M49-N49</x:f>
        <x:v>9243127.530505039</x:v>
      </x:c>
      <x:c r="R49" s="7" t="n">
        <x:f>Q49-O49-P49</x:f>
        <x:v>7640608.299346414</x:v>
      </x:c>
      <x:c r="S49" s="7" t="n">
        <x:f>S48+R49</x:f>
        <x:v>324485443.1072386</x:v>
      </x:c>
      <x:c r="T49" s="7" t="n">
        <x:f>IF(S49&gt;=0,A49,999)</x:f>
        <x:v>43</x:v>
      </x:c>
      <x:c r="U49" s="22" t="n">
        <x:f>'Допущения'!C31*'Допущения'!$B$8*B49*'Допущения'!$B$17/'Допущения'!$B$18/'Допущения'!$B$16</x:f>
        <x:v>75.67026194144837</x:v>
      </x:c>
      <x:c r="V49" s="7"/>
      <x:c r="W49" s="7"/>
    </x:row>
    <x:row r="50" ht="23" customHeight="1">
      <x:c r="A50" s="1" t="n">
        <x:v>44</x:v>
      </x:c>
      <x:c r="B50" s="17" t="n">
        <x:f>'Допущения'!C49*'Допущения'!D53</x:f>
        <x:v>0.8135593220338982</x:v>
      </x:c>
      <x:c r="C50" s="9" t="n">
        <x:f>'Допущения'!C31*'Допущения'!$B$8*'Допущения'!D31*$B50*(1+'Допущения'!$B$13)^3</x:f>
        <x:v>10478088.82397288</x:v>
      </x:c>
      <x:c r="D50" s="9" t="n">
        <x:f>'Допущения'!C32*'Допущения'!$B$8*'Допущения'!D32*$B50*(1+'Допущения'!$B$13)^3</x:f>
        <x:v>1819112.6430508473</x:v>
      </x:c>
      <x:c r="E50" s="9" t="n">
        <x:f>'Допущения'!C33*'Допущения'!$B$8*'Допущения'!D33*$B50*(1+'Допущения'!$B$13)^3</x:f>
        <x:v>2226593.8750942373</x:v>
      </x:c>
      <x:c r="F50" s="9" t="n">
        <x:f>'Допущения'!C34*'Допущения'!$B$8*'Допущения'!D34*$B50*(1+'Допущения'!$B$13)^3</x:f>
        <x:v>2910580.228881356</x:v>
      </x:c>
      <x:c r="G50" s="9" t="n">
        <x:f>'Допущения'!C35*'Допущения'!$B$8*'Допущения'!D35*$B50*(1+'Допущения'!$B$13)^3</x:f>
        <x:v>4540505.157054915</x:v>
      </x:c>
      <x:c r="H50" s="9" t="n">
        <x:f>'Допущения'!C36*'Допущения'!$B$8*'Допущения'!D36*$B50*(1+'Допущения'!$B$13)^3</x:f>
        <x:v>523904.441198644</x:v>
      </x:c>
      <x:c r="I50" s="9" t="n">
        <x:f>'Допущения'!C37*'Допущения'!$B$8*'Допущения'!D37*$B50*(1+'Допущения'!$B$13)^3</x:f>
        <x:v>363822.5286101695</x:v>
      </x:c>
      <x:c r="J50" s="7" t="n">
        <x:f>SUM(C50:I50)</x:f>
        <x:v>22862607.69786305</x:v>
      </x:c>
      <x:c r="K50" s="9" t="n">
        <x:f>J50/(1+'Допущения'!$B$9)</x:f>
        <x:v>21366923.082115</x:v>
      </x:c>
      <x:c r="L50" s="9" t="n">
        <x:f>C50/(1+'Допущения'!$B$9)*'Допущения'!E31+'Допущения'!C31*'Допущения'!$B$8*$B50*'Допущения'!F31*(1+'Допущения'!$B$14)^3+D50/(1+'Допущения'!$B$9)*'Допущения'!E32+'Допущения'!C32*'Допущения'!$B$8*$B50*'Допущения'!F32*(1+'Допущения'!$B$14)^3+E50/(1+'Допущения'!$B$9)*'Допущения'!E33+'Допущения'!C33*'Допущения'!$B$8*$B50*'Допущения'!F33*(1+'Допущения'!$B$14)^3+F50/(1+'Допущения'!$B$9)*'Допущения'!E34+'Допущения'!C34*'Допущения'!$B$8*$B50*'Допущения'!F34*(1+'Допущения'!$B$14)^3+G50/(1+'Допущения'!$B$9)*'Допущения'!E35+'Допущения'!C35*'Допущения'!$B$8*$B50*'Допущения'!F35*(1+'Допущения'!$B$14)^3+H50/(1+'Допущения'!$B$9)*'Допущения'!E36+'Допущения'!C36*'Допущения'!$B$8*$B50*'Допущения'!F36*(1+'Допущения'!$B$14)^3+I50/(1+'Допущения'!$B$9)*'Допущения'!E37+'Допущения'!C37*'Допущения'!$B$8*$B50*'Допущения'!F37*(1+'Допущения'!$B$14)^3</x:f>
        <x:v>3086272.387308728</x:v>
      </x:c>
      <x:c r="M50" s="9" t="n">
        <x:f>J50*'Допущения'!$B$11</x:f>
        <x:v>457252.153957261</x:v>
      </x:c>
      <x:c r="N50" s="9" t="n">
        <x:f>'Инвестиции'!$C$35*(1+'Допущения'!$B$14)^3</x:f>
        <x:v>7466308.601540906</x:v>
      </x:c>
      <x:c r="O50" s="9" t="n">
        <x:f>K50*'Допущения'!$B$10</x:f>
        <x:v>1282015.3849268998</x:v>
      </x:c>
      <x:c r="P50" s="9" t="n">
        <x:f>K50*'Допущения'!$B$12</x:f>
        <x:v>427338.46164229995</x:v>
      </x:c>
      <x:c r="Q50" s="7" t="n">
        <x:f>K50-L50-M50-N50</x:f>
        <x:v>10357089.939308101</x:v>
      </x:c>
      <x:c r="R50" s="7" t="n">
        <x:f>Q50-O50-P50</x:f>
        <x:v>8647736.0927389</x:v>
      </x:c>
      <x:c r="S50" s="7" t="n">
        <x:f>S49+R50</x:f>
        <x:v>333133179.1999775</x:v>
      </x:c>
      <x:c r="T50" s="7" t="n">
        <x:f>IF(S50&gt;=0,A50,999)</x:f>
        <x:v>44</x:v>
      </x:c>
      <x:c r="U50" s="22" t="n">
        <x:f>'Допущения'!C31*'Допущения'!$B$8*B50*'Допущения'!$B$17/'Допущения'!$B$18/'Допущения'!$B$16</x:f>
        <x:v>80.71494607087827</x:v>
      </x:c>
      <x:c r="V50" s="7"/>
      <x:c r="W50" s="7"/>
    </x:row>
    <x:row r="51" ht="23" customHeight="1">
      <x:c r="A51" s="1" t="n">
        <x:v>45</x:v>
      </x:c>
      <x:c r="B51" s="17" t="n">
        <x:f>'Допущения'!C50*'Допущения'!D53</x:f>
        <x:v>1.0677966101694916</x:v>
      </x:c>
      <x:c r="C51" s="9" t="n">
        <x:f>'Допущения'!C31*'Допущения'!$B$8*'Допущения'!D31*$B51*(1+'Допущения'!$B$13)^3</x:f>
        <x:v>13752491.581464406</x:v>
      </x:c>
      <x:c r="D51" s="9" t="n">
        <x:f>'Допущения'!C32*'Допущения'!$B$8*'Допущения'!D32*$B51*(1+'Допущения'!$B$13)^3</x:f>
        <x:v>2387585.3440042376</x:v>
      </x:c>
      <x:c r="E51" s="9" t="n">
        <x:f>'Допущения'!C33*'Допущения'!$B$8*'Допущения'!D33*$B51*(1+'Допущения'!$B$13)^3</x:f>
        <x:v>2922404.4610611866</x:v>
      </x:c>
      <x:c r="F51" s="9" t="n">
        <x:f>'Допущения'!C34*'Допущения'!$B$8*'Допущения'!D34*$B51*(1+'Допущения'!$B$13)^3</x:f>
        <x:v>3820136.55040678</x:v>
      </x:c>
      <x:c r="G51" s="9" t="n">
        <x:f>'Допущения'!C35*'Допущения'!$B$8*'Допущения'!D35*$B51*(1+'Допущения'!$B$13)^3</x:f>
        <x:v>5959413.018634576</x:v>
      </x:c>
      <x:c r="H51" s="9" t="n">
        <x:f>'Допущения'!C36*'Допущения'!$B$8*'Допущения'!D36*$B51*(1+'Допущения'!$B$13)^3</x:f>
        <x:v>687624.5790732204</x:v>
      </x:c>
      <x:c r="I51" s="9" t="n">
        <x:f>'Допущения'!C37*'Допущения'!$B$8*'Допущения'!D37*$B51*(1+'Допущения'!$B$13)^3</x:f>
        <x:v>477517.0688008475</x:v>
      </x:c>
      <x:c r="J51" s="7" t="n">
        <x:f>SUM(C51:I51)</x:f>
        <x:v>30007172.603445254</x:v>
      </x:c>
      <x:c r="K51" s="9" t="n">
        <x:f>J51/(1+'Допущения'!$B$9)</x:f>
        <x:v>28044086.545275938</x:v>
      </x:c>
      <x:c r="L51" s="9" t="n">
        <x:f>C51/(1+'Допущения'!$B$9)*'Допущения'!E31+'Допущения'!C31*'Допущения'!$B$8*$B51*'Допущения'!F31*(1+'Допущения'!$B$14)^3+D51/(1+'Допущения'!$B$9)*'Допущения'!E32+'Допущения'!C32*'Допущения'!$B$8*$B51*'Допущения'!F32*(1+'Допущения'!$B$14)^3+E51/(1+'Допущения'!$B$9)*'Допущения'!E33+'Допущения'!C33*'Допущения'!$B$8*$B51*'Допущения'!F33*(1+'Допущения'!$B$14)^3+F51/(1+'Допущения'!$B$9)*'Допущения'!E34+'Допущения'!C34*'Допущения'!$B$8*$B51*'Допущения'!F34*(1+'Допущения'!$B$14)^3+G51/(1+'Допущения'!$B$9)*'Допущения'!E35+'Допущения'!C35*'Допущения'!$B$8*$B51*'Допущения'!F35*(1+'Допущения'!$B$14)^3+H51/(1+'Допущения'!$B$9)*'Допущения'!E36+'Допущения'!C36*'Допущения'!$B$8*$B51*'Допущения'!F36*(1+'Допущения'!$B$14)^3+I51/(1+'Допущения'!$B$9)*'Допущения'!E37+'Допущения'!C37*'Допущения'!$B$8*$B51*'Допущения'!F37*(1+'Допущения'!$B$14)^3</x:f>
        <x:v>4050732.508342705</x:v>
      </x:c>
      <x:c r="M51" s="9" t="n">
        <x:f>J51*'Допущения'!$B$11</x:f>
        <x:v>600143.4520689051</x:v>
      </x:c>
      <x:c r="N51" s="9" t="n">
        <x:f>'Инвестиции'!$C$35*(1+'Допущения'!$B$14)^3</x:f>
        <x:v>7466308.601540906</x:v>
      </x:c>
      <x:c r="O51" s="9" t="n">
        <x:f>K51*'Допущения'!$B$10</x:f>
        <x:v>1682645.1927165561</x:v>
      </x:c>
      <x:c r="P51" s="9" t="n">
        <x:f>K51*'Допущения'!$B$12</x:f>
        <x:v>560881.7309055188</x:v>
      </x:c>
      <x:c r="Q51" s="7" t="n">
        <x:f>K51-L51-M51-N51</x:f>
        <x:v>15926901.98332342</x:v>
      </x:c>
      <x:c r="R51" s="7" t="n">
        <x:f>Q51-O51-P51</x:f>
        <x:v>13683375.059701346</x:v>
      </x:c>
      <x:c r="S51" s="7" t="n">
        <x:f>S50+R51</x:f>
        <x:v>346816554.25967884</x:v>
      </x:c>
      <x:c r="T51" s="7" t="n">
        <x:f>IF(S51&gt;=0,A51,999)</x:f>
        <x:v>45</x:v>
      </x:c>
      <x:c r="U51" s="22" t="n">
        <x:f>'Допущения'!C31*'Допущения'!$B$8*B51*'Допущения'!$B$17/'Допущения'!$B$18/'Допущения'!$B$16</x:f>
        <x:v>105.93836671802774</x:v>
      </x:c>
      <x:c r="V51" s="7"/>
      <x:c r="W51" s="7"/>
    </x:row>
    <x:row r="52" ht="23" customHeight="1">
      <x:c r="A52" s="1" t="n">
        <x:v>46</x:v>
      </x:c>
      <x:c r="B52" s="17" t="n">
        <x:f>'Допущения'!C51*'Допущения'!D53</x:f>
        <x:v>1.1694915254237286</x:v>
      </x:c>
      <x:c r="C52" s="9" t="n">
        <x:f>'Допущения'!C31*'Допущения'!$B$8*'Допущения'!D31*$B52*(1+'Допущения'!$B$13)^3</x:f>
        <x:v>15062252.684461014</x:v>
      </x:c>
      <x:c r="D52" s="9" t="n">
        <x:f>'Допущения'!C32*'Допущения'!$B$8*'Допущения'!D32*$B52*(1+'Допущения'!$B$13)^3</x:f>
        <x:v>2614974.424385593</x:v>
      </x:c>
      <x:c r="E52" s="9" t="n">
        <x:f>'Допущения'!C33*'Допущения'!$B$8*'Допущения'!D33*$B52*(1+'Допущения'!$B$13)^3</x:f>
        <x:v>3200728.6954479655</x:v>
      </x:c>
      <x:c r="F52" s="9" t="n">
        <x:f>'Допущения'!C34*'Допущения'!$B$8*'Допущения'!D34*$B52*(1+'Допущения'!$B$13)^3</x:f>
        <x:v>4183959.079016948</x:v>
      </x:c>
      <x:c r="G52" s="9" t="n">
        <x:f>'Допущения'!C35*'Допущения'!$B$8*'Допущения'!D35*$B52*(1+'Допущения'!$B$13)^3</x:f>
        <x:v>6526976.163266439</x:v>
      </x:c>
      <x:c r="H52" s="9" t="n">
        <x:f>'Допущения'!C36*'Допущения'!$B$8*'Допущения'!D36*$B52*(1+'Допущения'!$B$13)^3</x:f>
        <x:v>753112.6342230507</x:v>
      </x:c>
      <x:c r="I52" s="9" t="n">
        <x:f>'Допущения'!C37*'Допущения'!$B$8*'Допущения'!D37*$B52*(1+'Допущения'!$B$13)^3</x:f>
        <x:v>522994.8848771185</x:v>
      </x:c>
      <x:c r="J52" s="7" t="n">
        <x:f>SUM(C52:I52)</x:f>
        <x:v>32864998.565678135</x:v>
      </x:c>
      <x:c r="K52" s="9" t="n">
        <x:f>J52/(1+'Допущения'!$B$9)</x:f>
        <x:v>30714951.930540312</x:v>
      </x:c>
      <x:c r="L52" s="9" t="n">
        <x:f>C52/(1+'Допущения'!$B$9)*'Допущения'!E31+'Допущения'!C31*'Допущения'!$B$8*$B52*'Допущения'!F31*(1+'Допущения'!$B$14)^3+D52/(1+'Допущения'!$B$9)*'Допущения'!E32+'Допущения'!C32*'Допущения'!$B$8*$B52*'Допущения'!F32*(1+'Допущения'!$B$14)^3+E52/(1+'Допущения'!$B$9)*'Допущения'!E33+'Допущения'!C33*'Допущения'!$B$8*$B52*'Допущения'!F33*(1+'Допущения'!$B$14)^3+F52/(1+'Допущения'!$B$9)*'Допущения'!E34+'Допущения'!C34*'Допущения'!$B$8*$B52*'Допущения'!F34*(1+'Допущения'!$B$14)^3+G52/(1+'Допущения'!$B$9)*'Допущения'!E35+'Допущения'!C35*'Допущения'!$B$8*$B52*'Допущения'!F35*(1+'Допущения'!$B$14)^3+H52/(1+'Допущения'!$B$9)*'Допущения'!E36+'Допущения'!C36*'Допущения'!$B$8*$B52*'Допущения'!F36*(1+'Допущения'!$B$14)^3+I52/(1+'Допущения'!$B$9)*'Допущения'!E37+'Допущения'!C37*'Допущения'!$B$8*$B52*'Допущения'!F37*(1+'Допущения'!$B$14)^3</x:f>
        <x:v>4436516.556756295</x:v>
      </x:c>
      <x:c r="M52" s="9" t="n">
        <x:f>J52*'Допущения'!$B$11</x:f>
        <x:v>657299.9713135627</x:v>
      </x:c>
      <x:c r="N52" s="9" t="n">
        <x:f>'Инвестиции'!$C$35*(1+'Допущения'!$B$14)^3</x:f>
        <x:v>7466308.601540906</x:v>
      </x:c>
      <x:c r="O52" s="9" t="n">
        <x:f>K52*'Допущения'!$B$10</x:f>
        <x:v>1842897.1158324187</x:v>
      </x:c>
      <x:c r="P52" s="9" t="n">
        <x:f>K52*'Допущения'!$B$12</x:f>
        <x:v>614299.0386108062</x:v>
      </x:c>
      <x:c r="Q52" s="7" t="n">
        <x:f>K52-L52-M52-N52</x:f>
        <x:v>18154826.800929546</x:v>
      </x:c>
      <x:c r="R52" s="7" t="n">
        <x:f>Q52-O52-P52</x:f>
        <x:v>15697630.646486321</x:v>
      </x:c>
      <x:c r="S52" s="7" t="n">
        <x:f>S51+R52</x:f>
        <x:v>362514184.9061652</x:v>
      </x:c>
      <x:c r="T52" s="7" t="n">
        <x:f>IF(S52&gt;=0,A52,999)</x:f>
        <x:v>46</x:v>
      </x:c>
      <x:c r="U52" s="22" t="n">
        <x:f>'Допущения'!C31*'Допущения'!$B$8*B52*'Допущения'!$B$17/'Допущения'!$B$18/'Допущения'!$B$16</x:f>
        <x:v>116.0277349768875</x:v>
      </x:c>
      <x:c r="V52" s="7"/>
      <x:c r="W52" s="7"/>
    </x:row>
    <x:row r="53" ht="23" customHeight="1">
      <x:c r="A53" s="1" t="n">
        <x:v>47</x:v>
      </x:c>
      <x:c r="B53" s="17" t="n">
        <x:f>'Допущения'!C52*'Допущения'!D53</x:f>
        <x:v>1.2203389830508473</x:v>
      </x:c>
      <x:c r="C53" s="9" t="n">
        <x:f>'Допущения'!C31*'Допущения'!$B$8*'Допущения'!D31*$B53*(1+'Допущения'!$B$13)^3</x:f>
        <x:v>15717133.235959321</x:v>
      </x:c>
      <x:c r="D53" s="9" t="n">
        <x:f>'Допущения'!C32*'Допущения'!$B$8*'Допущения'!D32*$B53*(1+'Допущения'!$B$13)^3</x:f>
        <x:v>2728668.964576271</x:v>
      </x:c>
      <x:c r="E53" s="9" t="n">
        <x:f>'Допущения'!C33*'Допущения'!$B$8*'Допущения'!D33*$B53*(1+'Допущения'!$B$13)^3</x:f>
        <x:v>3339890.812641355</x:v>
      </x:c>
      <x:c r="F53" s="9" t="n">
        <x:f>'Допущения'!C34*'Допущения'!$B$8*'Допущения'!D34*$B53*(1+'Допущения'!$B$13)^3</x:f>
        <x:v>4365870.343322034</x:v>
      </x:c>
      <x:c r="G53" s="9" t="n">
        <x:f>'Допущения'!C35*'Допущения'!$B$8*'Допущения'!D35*$B53*(1+'Допущения'!$B$13)^3</x:f>
        <x:v>6810757.735582372</x:v>
      </x:c>
      <x:c r="H53" s="9" t="n">
        <x:f>'Допущения'!C36*'Допущения'!$B$8*'Допущения'!D36*$B53*(1+'Допущения'!$B$13)^3</x:f>
        <x:v>785856.6617979661</x:v>
      </x:c>
      <x:c r="I53" s="9" t="n">
        <x:f>'Допущения'!C37*'Допущения'!$B$8*'Допущения'!D37*$B53*(1+'Допущения'!$B$13)^3</x:f>
        <x:v>545733.7929152542</x:v>
      </x:c>
      <x:c r="J53" s="7" t="n">
        <x:f>SUM(C53:I53)</x:f>
        <x:v>34293911.54679457</x:v>
      </x:c>
      <x:c r="K53" s="9" t="n">
        <x:f>J53/(1+'Допущения'!$B$9)</x:f>
        <x:v>32050384.623172496</x:v>
      </x:c>
      <x:c r="L53" s="9" t="n">
        <x:f>C53/(1+'Допущения'!$B$9)*'Допущения'!E31+'Допущения'!C31*'Допущения'!$B$8*$B53*'Допущения'!F31*(1+'Допущения'!$B$14)^3+D53/(1+'Допущения'!$B$9)*'Допущения'!E32+'Допущения'!C32*'Допущения'!$B$8*$B53*'Допущения'!F32*(1+'Допущения'!$B$14)^3+E53/(1+'Допущения'!$B$9)*'Допущения'!E33+'Допущения'!C33*'Допущения'!$B$8*$B53*'Допущения'!F33*(1+'Допущения'!$B$14)^3+F53/(1+'Допущения'!$B$9)*'Допущения'!E34+'Допущения'!C34*'Допущения'!$B$8*$B53*'Допущения'!F34*(1+'Допущения'!$B$14)^3+G53/(1+'Допущения'!$B$9)*'Допущения'!E35+'Допущения'!C35*'Допущения'!$B$8*$B53*'Допущения'!F35*(1+'Допущения'!$B$14)^3+H53/(1+'Допущения'!$B$9)*'Допущения'!E36+'Допущения'!C36*'Допущения'!$B$8*$B53*'Допущения'!F36*(1+'Допущения'!$B$14)^3+I53/(1+'Допущения'!$B$9)*'Допущения'!E37+'Допущения'!C37*'Допущения'!$B$8*$B53*'Допущения'!F37*(1+'Допущения'!$B$14)^3</x:f>
        <x:v>4629408.580963091</x:v>
      </x:c>
      <x:c r="M53" s="9" t="n">
        <x:f>J53*'Допущения'!$B$11</x:f>
        <x:v>685878.2309358914</x:v>
      </x:c>
      <x:c r="N53" s="9" t="n">
        <x:f>'Инвестиции'!$C$35*(1+'Допущения'!$B$14)^3</x:f>
        <x:v>7466308.601540906</x:v>
      </x:c>
      <x:c r="O53" s="9" t="n">
        <x:f>K53*'Допущения'!$B$10</x:f>
        <x:v>1923023.0773903497</x:v>
      </x:c>
      <x:c r="P53" s="9" t="n">
        <x:f>K53*'Допущения'!$B$12</x:f>
        <x:v>641007.6924634499</x:v>
      </x:c>
      <x:c r="Q53" s="7" t="n">
        <x:f>K53-L53-M53-N53</x:f>
        <x:v>19268789.209732607</x:v>
      </x:c>
      <x:c r="R53" s="7" t="n">
        <x:f>Q53-O53-P53</x:f>
        <x:v>16704758.439878806</x:v>
      </x:c>
      <x:c r="S53" s="7" t="n">
        <x:f>S52+R53</x:f>
        <x:v>379218943.346044</x:v>
      </x:c>
      <x:c r="T53" s="7" t="n">
        <x:f>IF(S53&gt;=0,A53,999)</x:f>
        <x:v>47</x:v>
      </x:c>
      <x:c r="U53" s="22" t="n">
        <x:f>'Допущения'!C31*'Допущения'!$B$8*B53*'Допущения'!$B$17/'Допущения'!$B$18/'Допущения'!$B$16</x:f>
        <x:v>121.07241910631738</x:v>
      </x:c>
      <x:c r="V53" s="7"/>
      <x:c r="W53" s="7"/>
    </x:row>
    <x:row r="54" ht="23" customHeight="1">
      <x:c r="A54" s="1" t="n">
        <x:v>48</x:v>
      </x:c>
      <x:c r="B54" s="17" t="n">
        <x:f>'Допущения'!C53*'Допущения'!D53</x:f>
        <x:v>1.271186440677966</x:v>
      </x:c>
      <x:c r="C54" s="9" t="n">
        <x:f>'Допущения'!C31*'Допущения'!$B$8*'Допущения'!D31*$B54*(1+'Допущения'!$B$13)^3</x:f>
        <x:v>16372013.787457626</x:v>
      </x:c>
      <x:c r="D54" s="9" t="n">
        <x:f>'Допущения'!C32*'Допущения'!$B$8*'Допущения'!D32*$B54*(1+'Допущения'!$B$13)^3</x:f>
        <x:v>2842363.504766949</x:v>
      </x:c>
      <x:c r="E54" s="9" t="n">
        <x:f>'Допущения'!C33*'Допущения'!$B$8*'Допущения'!D33*$B54*(1+'Допущения'!$B$13)^3</x:f>
        <x:v>3479052.929834746</x:v>
      </x:c>
      <x:c r="F54" s="9" t="n">
        <x:f>'Допущения'!C34*'Допущения'!$B$8*'Допущения'!D34*$B54*(1+'Допущения'!$B$13)^3</x:f>
        <x:v>4547781.607627118</x:v>
      </x:c>
      <x:c r="G54" s="9" t="n">
        <x:f>'Допущения'!C35*'Допущения'!$B$8*'Допущения'!D35*$B54*(1+'Допущения'!$B$13)^3</x:f>
        <x:v>7094539.307898305</x:v>
      </x:c>
      <x:c r="H54" s="9" t="n">
        <x:f>'Допущения'!C36*'Допущения'!$B$8*'Допущения'!D36*$B54*(1+'Допущения'!$B$13)^3</x:f>
        <x:v>818600.6893728813</x:v>
      </x:c>
      <x:c r="I54" s="9" t="n">
        <x:f>'Допущения'!C37*'Допущения'!$B$8*'Допущения'!D37*$B54*(1+'Допущения'!$B$13)^3</x:f>
        <x:v>568472.7009533898</x:v>
      </x:c>
      <x:c r="J54" s="7" t="n">
        <x:f>SUM(C54:I54)</x:f>
        <x:v>35722824.527911015</x:v>
      </x:c>
      <x:c r="K54" s="9" t="n">
        <x:f>J54/(1+'Допущения'!$B$9)</x:f>
        <x:v>33385817.315804686</x:v>
      </x:c>
      <x:c r="L54" s="9" t="n">
        <x:f>C54/(1+'Допущения'!$B$9)*'Допущения'!E31+'Допущения'!C31*'Допущения'!$B$8*$B54*'Допущения'!F31*(1+'Допущения'!$B$14)^3+D54/(1+'Допущения'!$B$9)*'Допущения'!E32+'Допущения'!C32*'Допущения'!$B$8*$B54*'Допущения'!F32*(1+'Допущения'!$B$14)^3+E54/(1+'Допущения'!$B$9)*'Допущения'!E33+'Допущения'!C33*'Допущения'!$B$8*$B54*'Допущения'!F33*(1+'Допущения'!$B$14)^3+F54/(1+'Допущения'!$B$9)*'Допущения'!E34+'Допущения'!C34*'Допущения'!$B$8*$B54*'Допущения'!F34*(1+'Допущения'!$B$14)^3+G54/(1+'Допущения'!$B$9)*'Допущения'!E35+'Допущения'!C35*'Допущения'!$B$8*$B54*'Допущения'!F35*(1+'Допущения'!$B$14)^3+H54/(1+'Допущения'!$B$9)*'Допущения'!E36+'Допущения'!C36*'Допущения'!$B$8*$B54*'Допущения'!F36*(1+'Допущения'!$B$14)^3+I54/(1+'Допущения'!$B$9)*'Допущения'!E37+'Допущения'!C37*'Допущения'!$B$8*$B54*'Допущения'!F37*(1+'Допущения'!$B$14)^3</x:f>
        <x:v>4822300.605169888</x:v>
      </x:c>
      <x:c r="M54" s="9" t="n">
        <x:f>J54*'Допущения'!$B$11</x:f>
        <x:v>714456.4905582203</x:v>
      </x:c>
      <x:c r="N54" s="9" t="n">
        <x:f>'Инвестиции'!$C$35*(1+'Допущения'!$B$14)^3</x:f>
        <x:v>7466308.601540906</x:v>
      </x:c>
      <x:c r="O54" s="9" t="n">
        <x:f>K54*'Допущения'!$B$10</x:f>
        <x:v>2003149.0389482812</x:v>
      </x:c>
      <x:c r="P54" s="9" t="n">
        <x:f>K54*'Допущения'!$B$12</x:f>
        <x:v>667716.3463160937</x:v>
      </x:c>
      <x:c r="Q54" s="7" t="n">
        <x:f>K54-L54-M54-N54</x:f>
        <x:v>20382751.618535668</x:v>
      </x:c>
      <x:c r="R54" s="7" t="n">
        <x:f>Q54-O54-P54</x:f>
        <x:v>17711886.23327129</x:v>
      </x:c>
      <x:c r="S54" s="7" t="n">
        <x:f>S53+R54</x:f>
        <x:v>396930829.5793153</x:v>
      </x:c>
      <x:c r="T54" s="7" t="n">
        <x:f>IF(S54&gt;=0,A54,999)</x:f>
        <x:v>48</x:v>
      </x:c>
      <x:c r="U54" s="22" t="n">
        <x:f>'Допущения'!C31*'Допущения'!$B$8*B54*'Допущения'!$B$17/'Допущения'!$B$18/'Допущения'!$B$16</x:f>
        <x:v>126.11710323574727</x:v>
      </x:c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5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RR-FEC-3000 | События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Неделя</x:v>
      </x:c>
      <x:c r="B6" s="25" t="str">
        <x:v>Формат</x:v>
      </x:c>
      <x:c r="C6" s="24" t="str">
        <x:v>Частота</x:v>
      </x:c>
      <x:c r="D6" s="24" t="str">
        <x:v>Расход на событие, ₽</x:v>
      </x:c>
      <x:c r="E6" s="24" t="str">
        <x:v>Промо, ₽</x:v>
      </x:c>
      <x:c r="F6" s="24" t="str">
        <x:v>Учет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58" customHeight="1">
      <x:c r="A7" s="29" t="str">
        <x:v>1</x:v>
      </x:c>
      <x:c r="B7" s="28" t="str">
        <x:v>Семейный квест + навык</x:v>
      </x:c>
      <x:c r="C7" s="28" t="str">
        <x:v>Сб 12:00 / Вс 16:00</x:v>
      </x:c>
      <x:c r="D7" s="28" t="n">
        <x:v>9859</x:v>
      </x:c>
      <x:c r="E7" s="28" t="n">
        <x:v>14000</x:v>
      </x:c>
      <x:c r="F7" s="28" t="str">
        <x:v>Включено во вход, не отдельная выручка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58" customHeight="1">
      <x:c r="A8" s="29" t="str">
        <x:v>2</x:v>
      </x:c>
      <x:c r="B8" s="28" t="str">
        <x:v>Творческая мастерская</x:v>
      </x:c>
      <x:c r="C8" s="28" t="str">
        <x:v>Ср 17:00 / Сб 14:00</x:v>
      </x:c>
      <x:c r="D8" s="28" t="n">
        <x:v>6573</x:v>
      </x:c>
      <x:c r="E8" s="28" t="n">
        <x:v>10500</x:v>
      </x:c>
      <x:c r="F8" s="28" t="str">
        <x:v>Материалы в прямых расходах мастер-классов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58" customHeight="1">
      <x:c r="A9" s="29" t="str">
        <x:v>3</x:v>
      </x:c>
      <x:c r="B9" s="28" t="str">
        <x:v>Световая семейная дискотека</x:v>
      </x:c>
      <x:c r="C9" s="28" t="str">
        <x:v>Пт 18:00</x:v>
      </x:c>
      <x:c r="D9" s="28" t="n">
        <x:v>10954</x:v>
      </x:c>
      <x:c r="E9" s="28" t="n">
        <x:v>14000</x:v>
      </x:c>
      <x:c r="F9" s="28" t="str">
        <x:v>Включено во вход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58" customHeight="1">
      <x:c r="A10" s="29" t="str">
        <x:v>4</x:v>
      </x:c>
      <x:c r="B10" s="28" t="str">
        <x:v>Командный турнир / день рождения клуба</x:v>
      </x:c>
      <x:c r="C10" s="28" t="str">
        <x:v>Вс 15:00</x:v>
      </x:c>
      <x:c r="D10" s="28" t="n">
        <x:v>16432</x:v>
      </x:c>
      <x:c r="E10" s="28" t="n">
        <x:v>17500</x:v>
      </x:c>
      <x:c r="F10" s="28" t="str">
        <x:v>Неделя теста, призы без денежных выплат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Правило бюджета</x:v>
      </x:c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Промо событий входит в текущую рекламу, а не прибавляется к ней повторно.</x:v>
      </x:c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Штатный ведущий входит в ФОТ; материалы и приглашенные артисты — в прямые затраты.</x:v>
      </x:c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100 м²: только два публичных блока в неделю; частный праздник занимает общую сцену.</x:v>
      </x:c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После четырех недель оставлять форматы с повторными визитами и положительным вкладом.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