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fd1b17ebf40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бзор" sheetId="1" r:id="R222f733fa4dd4e31"/>
    <x:sheet xmlns:r="http://schemas.openxmlformats.org/officeDocument/2006/relationships" name="Допущения" sheetId="2" r:id="Rbfa2ccbecd7042b5"/>
    <x:sheet xmlns:r="http://schemas.openxmlformats.org/officeDocument/2006/relationships" name="Оборудование" sheetId="3" r:id="R8443fa4a8c834b7a"/>
    <x:sheet xmlns:r="http://schemas.openxmlformats.org/officeDocument/2006/relationships" name="Персонал" sheetId="4" r:id="R1ffce8100f0742e7"/>
    <x:sheet xmlns:r="http://schemas.openxmlformats.org/officeDocument/2006/relationships" name="Электрика" sheetId="5" r:id="R2f050c51b3554430"/>
    <x:sheet xmlns:r="http://schemas.openxmlformats.org/officeDocument/2006/relationships" name="Инвестиции" sheetId="6" r:id="R8b7f4440e21341f3"/>
    <x:sheet xmlns:r="http://schemas.openxmlformats.org/officeDocument/2006/relationships" name="Зоны" sheetId="7" r:id="R866df968222e4275"/>
    <x:sheet xmlns:r="http://schemas.openxmlformats.org/officeDocument/2006/relationships" name="Поток 48 мес" sheetId="8" r:id="R8897bb0a69514c88"/>
    <x:sheet xmlns:r="http://schemas.openxmlformats.org/officeDocument/2006/relationships" name="События" sheetId="9" r:id="R504e2fa2d818422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#,##0;[Red](#,##0);&quot;—&quot;"/>
    <x:numFmt numFmtId="201" formatCode="0.0%"/>
    <x:numFmt numFmtId="202" formatCode="0.00"/>
    <x:numFmt numFmtId="203" formatCode="0.000"/>
    <x:numFmt numFmtId="204" formatCode="0.0"/>
    <x:numFmt numFmtId="205" formatCode="0%"/>
  </x:numFmts>
  <x:fonts count="7">
    <x:font>
      <x:sz val="11"/>
      <x:name val="Carlito"/>
    </x:font>
    <x:font>
      <x:sz val="11"/>
      <x:color rgb="FF172333"/>
      <x:name val="Arial"/>
    </x:font>
    <x:font>
      <x:b/>
      <x:sz val="19"/>
      <x:color rgb="FFFFFFFF"/>
      <x:name val="Arial"/>
    </x:font>
    <x:font>
      <x:sz val="11"/>
      <x:color rgb="FF008052"/>
      <x:name val="Arial"/>
    </x:font>
    <x:font>
      <x:b/>
      <x:sz val="11"/>
      <x:color rgb="FF172333"/>
      <x:name val="Arial"/>
    </x:font>
    <x:font>
      <x:sz val="11"/>
      <x:color rgb="FF1F58C7"/>
      <x:name val="Arial"/>
    </x:font>
    <x:font>
      <x:b/>
      <x:sz val="11"/>
      <x:color rgb="FF1F58C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476E"/>
      </x:patternFill>
    </x:fill>
    <x:fill>
      <x:patternFill patternType="solid">
        <x:fgColor rgb="FFE8EEF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1" fillId="0" borderId="0" xfId="0" applyNumberFormat="1" applyFont="1" applyFill="1" applyBorder="1"/>
    <x:xf numFmtId="200" fontId="4" fillId="3" borderId="0" xfId="0" applyNumberFormat="1" applyFont="1" applyFill="1" applyBorder="1"/>
    <x:xf numFmtId="200" fontId="3" fillId="0" borderId="0" xfId="0" applyNumberFormat="1" applyFont="1" applyFill="1" applyBorder="1"/>
    <x:xf numFmtId="200" fontId="5" fillId="0" borderId="0" xfId="0" applyNumberFormat="1" applyFont="1" applyFill="1" applyBorder="1"/>
    <x:xf numFmtId="200" fontId="6" fillId="3" borderId="0" xfId="0" applyNumberFormat="1" applyFont="1" applyFill="1" applyBorder="1"/>
    <x:xf numFmtId="0" fontId="5" fillId="0" borderId="0" xfId="0" applyNumberFormat="1" applyFont="1" applyFill="1" applyBorder="1"/>
    <x:xf numFmtId="0" fontId="6" fillId="3" borderId="0" xfId="0" applyNumberFormat="1" applyFont="1" applyFill="1" applyBorder="1"/>
    <x:xf numFmtId="201" fontId="5" fillId="0" borderId="0" xfId="0" applyNumberFormat="1" applyFont="1" applyFill="1" applyBorder="1"/>
    <x:xf numFmtId="202" fontId="5" fillId="0" borderId="0" xfId="0" applyNumberFormat="1" applyFont="1" applyFill="1" applyBorder="1"/>
    <x:xf numFmtId="202" fontId="1" fillId="0" borderId="0" xfId="0" applyNumberFormat="1" applyFont="1" applyFill="1" applyBorder="1"/>
    <x:xf numFmtId="202" fontId="3" fillId="0" borderId="0" xfId="0" applyNumberFormat="1" applyFont="1" applyFill="1" applyBorder="1"/>
    <x:xf numFmtId="203" fontId="1" fillId="0" borderId="0" xfId="0" applyNumberFormat="1" applyFont="1" applyFill="1" applyBorder="1"/>
    <x:xf numFmtId="203" fontId="5" fillId="0" borderId="0" xfId="0" applyNumberFormat="1" applyFont="1" applyFill="1" applyBorder="1"/>
    <x:xf numFmtId="201" fontId="1" fillId="0" borderId="0" xfId="0" applyNumberFormat="1" applyFont="1" applyFill="1" applyBorder="1"/>
    <x:xf numFmtId="204" fontId="1" fillId="0" borderId="0" xfId="0" applyNumberFormat="1" applyFont="1" applyFill="1" applyBorder="1"/>
    <x:xf numFmtId="204" fontId="3" fillId="0" borderId="0" xfId="0" applyNumberFormat="1" applyFont="1" applyFill="1" applyBorder="1"/>
    <x:xf numFmtId="201" fontId="3" fillId="0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200" fontId="4" fillId="3" borderId="0" xfId="0" applyNumberFormat="1" applyFont="1" applyFill="1" applyBorder="1" applyAlignment="1">
      <x:alignment wrapText="1"/>
    </x:xf>
    <x:xf numFmtId="200" fontId="6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3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205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d2abe0e5d74cd1" /><Relationship Type="http://schemas.openxmlformats.org/officeDocument/2006/relationships/theme" Target="/xl/theme/theme1.xml" Id="R7c98bf5e64f64803" /><Relationship Type="http://schemas.openxmlformats.org/officeDocument/2006/relationships/sharedStrings" Target="/xl/sharedStrings.xml" Id="Racf1419a64da43f6" /><Relationship Type="http://schemas.openxmlformats.org/officeDocument/2006/relationships/worksheet" Target="/xl/worksheets/sheet1.xml" Id="R222f733fa4dd4e31" /><Relationship Type="http://schemas.openxmlformats.org/officeDocument/2006/relationships/worksheet" Target="/xl/worksheets/sheet2.xml" Id="Rbfa2ccbecd7042b5" /><Relationship Type="http://schemas.openxmlformats.org/officeDocument/2006/relationships/worksheet" Target="/xl/worksheets/sheet3.xml" Id="R8443fa4a8c834b7a" /><Relationship Type="http://schemas.openxmlformats.org/officeDocument/2006/relationships/worksheet" Target="/xl/worksheets/sheet4.xml" Id="R1ffce8100f0742e7" /><Relationship Type="http://schemas.openxmlformats.org/officeDocument/2006/relationships/worksheet" Target="/xl/worksheets/sheet5.xml" Id="R2f050c51b3554430" /><Relationship Type="http://schemas.openxmlformats.org/officeDocument/2006/relationships/worksheet" Target="/xl/worksheets/sheet6.xml" Id="R8b7f4440e21341f3" /><Relationship Type="http://schemas.openxmlformats.org/officeDocument/2006/relationships/worksheet" Target="/xl/worksheets/sheet7.xml" Id="R866df968222e4275" /><Relationship Type="http://schemas.openxmlformats.org/officeDocument/2006/relationships/worksheet" Target="/xl/worksheets/sheet8.xml" Id="R8897bb0a69514c88" /><Relationship Type="http://schemas.openxmlformats.org/officeDocument/2006/relationships/worksheet" Target="/xl/worksheets/sheet9.xml" Id="R504e2fa2d818422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66" hidden="0" customWidth="1"/>
    <x:col min="2" max="2" width="37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RR-FEC-500 | Обзор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Площадь, м²</x:v>
      </x:c>
      <x:c r="B6" s="25" t="n">
        <x:v>500</x:v>
      </x:c>
      <x:c r="C6" s="24"/>
      <x:c r="D6" s="24"/>
      <x:c r="E6" s="24"/>
      <x:c r="F6" s="24"/>
      <x:c r="G6" s="24"/>
      <x:c r="H6" s="24"/>
      <x:c r="I6" s="24"/>
      <x:c r="J6" s="24"/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23" customHeight="1">
      <x:c r="A7" s="1" t="str">
        <x:v>Концепция</x:v>
      </x:c>
      <x:c r="B7" s="7" t="str">
        <x:v>Техноостров</x:v>
      </x:c>
      <x:c r="C7" s="7"/>
      <x:c r="D7" s="7"/>
      <x:c r="E7" s="7"/>
      <x:c r="F7" s="7"/>
      <x:c r="G7" s="7"/>
      <x:c r="H7" s="7"/>
      <x:c r="I7" s="7"/>
      <x:c r="J7" s="7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23" customHeight="1">
      <x:c r="A8" s="1" t="str">
        <x:v>Оборудование RR, ₽</x:v>
      </x:c>
      <x:c r="B8" s="9" t="n">
        <x:f>'Оборудование'!E21</x:f>
        <x:v>5799200</x:v>
      </x:c>
      <x:c r="C8" s="7"/>
      <x:c r="D8" s="7"/>
      <x:c r="E8" s="7"/>
      <x:c r="F8" s="7"/>
      <x:c r="G8" s="7"/>
      <x:c r="H8" s="7"/>
      <x:c r="I8" s="7"/>
      <x:c r="J8" s="7"/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23" customHeight="1">
      <x:c r="A9" s="1" t="str">
        <x:v>Полный стартовый бюджет, ₽</x:v>
      </x:c>
      <x:c r="B9" s="9" t="n">
        <x:f>'Инвестиции'!C20</x:f>
        <x:v>29126478.504</x:v>
      </x:c>
      <x:c r="C9" s="7"/>
      <x:c r="D9" s="7"/>
      <x:c r="E9" s="7"/>
      <x:c r="F9" s="7"/>
      <x:c r="G9" s="7"/>
      <x:c r="H9" s="7"/>
      <x:c r="I9" s="7"/>
      <x:c r="J9" s="7"/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23" customHeight="1">
      <x:c r="A10" s="1" t="str">
        <x:v>Платежи в стабильный месяц, ₽</x:v>
      </x:c>
      <x:c r="B10" s="9" t="n">
        <x:f>'Зоны'!E14</x:f>
        <x:v>5757006</x:v>
      </x:c>
      <x:c r="C10" s="7"/>
      <x:c r="D10" s="7"/>
      <x:c r="E10" s="7"/>
      <x:c r="F10" s="7"/>
      <x:c r="G10" s="7"/>
      <x:c r="H10" s="7"/>
      <x:c r="I10" s="7"/>
      <x:c r="J10" s="7"/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23" customHeight="1">
      <x:c r="A11" s="1" t="str">
        <x:v>Поток после налогов / обновления, ₽</x:v>
      </x:c>
      <x:c r="B11" s="9" t="n">
        <x:f>'Зоны'!M14</x:f>
        <x:v>2413661.526285715</x:v>
      </x:c>
      <x:c r="C11" s="7"/>
      <x:c r="D11" s="7"/>
      <x:c r="E11" s="7"/>
      <x:c r="F11" s="7"/>
      <x:c r="G11" s="7"/>
      <x:c r="H11" s="7"/>
      <x:c r="I11" s="7"/>
      <x:c r="J11" s="7"/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23" customHeight="1">
      <x:c r="A12" s="1" t="str">
        <x:v>Простая окупаемость стабильного режима, мес</x:v>
      </x:c>
      <x:c r="B12" s="21" t="n">
        <x:f>IF(B11&gt;0,B9/B11,"нет")</x:f>
        <x:v>12.067341748957464</x:v>
      </x:c>
      <x:c r="C12" s="7"/>
      <x:c r="D12" s="7"/>
      <x:c r="E12" s="7"/>
      <x:c r="F12" s="7"/>
      <x:c r="G12" s="7"/>
      <x:c r="H12" s="7"/>
      <x:c r="I12" s="7"/>
      <x:c r="J12" s="7"/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23" customHeight="1">
      <x:c r="A13" s="1" t="str">
        <x:v>Окупаемость с разгоном, мес (горизонт 48)</x:v>
      </x:c>
      <x:c r="B13" s="9" t="n">
        <x:f>IF(MIN('Поток 48 мес'!T7:T54)=999,"За 48 мес. нет",MIN('Поток 48 мес'!T7:T54))</x:f>
        <x:v>15</x:v>
      </x:c>
      <x:c r="C13" s="7"/>
      <x:c r="D13" s="7"/>
      <x:c r="E13" s="7"/>
      <x:c r="F13" s="7"/>
      <x:c r="G13" s="7"/>
      <x:c r="H13" s="7"/>
      <x:c r="I13" s="7"/>
      <x:c r="J13" s="7"/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23" customHeight="1">
      <x:c r="A14" s="1" t="str">
        <x:v>Выручка первого года, платежи ₽</x:v>
      </x:c>
      <x:c r="B14" s="9" t="n">
        <x:f>SUM('Поток 48 мес'!J7:J18)</x:f>
        <x:v>58033547.77118645</x:v>
      </x:c>
      <x:c r="C14" s="7"/>
      <x:c r="D14" s="7"/>
      <x:c r="E14" s="7"/>
      <x:c r="F14" s="7"/>
      <x:c r="G14" s="7"/>
      <x:c r="H14" s="7"/>
      <x:c r="I14" s="7"/>
      <x:c r="J14" s="7"/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 t="str">
        <x:v>Поток первого года, ₽</x:v>
      </x:c>
      <x:c r="B15" s="9" t="n">
        <x:f>SUM('Поток 48 мес'!R7:R18)</x:f>
        <x:v>20912942.400549643</x:v>
      </x:c>
      <x:c r="C15" s="7"/>
      <x:c r="D15" s="7"/>
      <x:c r="E15" s="7"/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 t="str">
        <x:v>Накопленный поток за 48 месяцев, ₽</x:v>
      </x:c>
      <x:c r="B16" s="9" t="n">
        <x:f>'Поток 48 мес'!S54</x:f>
        <x:v>81265676.57458977</x:v>
      </x:c>
      <x:c r="C16" s="7"/>
      <x:c r="D16" s="7"/>
      <x:c r="E16" s="7"/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 t="str">
        <x:v>Точка безубыточности, платежи/месяц ₽</x:v>
      </x:c>
      <x:c r="B17" s="9" t="n">
        <x:f>'Инвестиции'!C35/((SUM('Зоны'!I7:I13)-SUM('Зоны'!K7:L13))/B10)</x:f>
        <x:v>2444095.9627358112</x:v>
      </x:c>
      <x:c r="C17" s="7"/>
      <x:c r="D17" s="7"/>
      <x:c r="E17" s="7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 t="str">
        <x:v>Эквивалент посещений для безубыточности</x:v>
      </x:c>
      <x:c r="B18" s="9" t="n">
        <x:f>B17/(B10/'Допущения'!C31/'Допущения'!B8)</x:f>
        <x:v>1762.8718948120227</x:v>
      </x:c>
      <x:c r="C18" s="7"/>
      <x:c r="D18" s="7"/>
      <x:c r="E18" s="7"/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 t="str">
        <x:v>Запрос электрической мощности, кВт</x:v>
      </x:c>
      <x:c r="B19" s="22" t="n">
        <x:f>'Электрика'!E18</x:f>
        <x:v>53.06850000000001</x:v>
      </x:c>
      <x:c r="C19" s="7"/>
      <x:c r="D19" s="7"/>
      <x:c r="E19" s="7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 t="str">
        <x:v>Оплачиваемые FTE</x:v>
      </x:c>
      <x:c r="B20" s="22" t="n">
        <x:f>'Персонал'!C16</x:f>
        <x:v>18.659999999999997</x:v>
      </x:c>
      <x:c r="C20" s="7"/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 t="str">
        <x:v>Вместимость детей — рабочая гипотеза</x:v>
      </x:c>
      <x:c r="B21" s="21" t="n">
        <x:v>65</x:v>
      </x:c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 t="str">
        <x:v>Среднее детей одновременно, выбранный спрос</x:v>
      </x:c>
      <x:c r="B22" s="22" t="n">
        <x:f>'Допущения'!C31*'Допущения'!B8*'Допущения'!B17/'Допущения'!B18/'Допущения'!B16</x:f>
        <x:v>31.457575757575764</x:v>
      </x:c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 t="str">
        <x:v>Проверка площадей, м²</x:v>
      </x:c>
      <x:c r="B23" s="7" t="n">
        <x:v>500</x:v>
      </x:c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/>
      <x:c r="B24" s="7"/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/>
      <x:c r="B25" s="1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/>
      <x:c r="B26" s="1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 t="str">
        <x:v>Проверки модели</x:v>
      </x:c>
      <x:c r="B27" s="1" t="str">
        <x:v>Результат</x:v>
      </x:c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 t="str">
        <x:v>Доли выручки, сумма</x:v>
      </x:c>
      <x:c r="B28" s="23" t="n">
        <x:f>'Зоны'!N14</x:f>
        <x:v>1.0000000000000002</x:v>
      </x:c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 t="str">
        <x:v>Поток зон минус расчетный стабильный поток</x:v>
      </x:c>
      <x:c r="B29" s="4" t="n">
        <x:f>'Зоны'!M14-('Зоны'!I14-'Инвестиции'!C35-'Зоны'!K14-'Зоны'!L14)</x:f>
        <x:v>4.656612873077393e-10</x:v>
      </x:c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 t="str">
        <x:v>Распределение инвестиций минус общий бюджет</x:v>
      </x:c>
      <x:c r="B30" s="4" t="n">
        <x:f>'Зоны'!O14-'Инвестиции'!C20</x:f>
        <x:v>0</x:v>
      </x:c>
      <x:c r="C30" s="7"/>
      <x:c r="D30" s="7"/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 t="str">
        <x:v>Площадь минус задание</x:v>
      </x:c>
      <x:c r="B31" s="1" t="n">
        <x:f>B23-B6</x:f>
        <x:v>0</x:v>
      </x:c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 t="str">
        <x:v>Вместимость: среднее / рабочий максимум</x:v>
      </x:c>
      <x:c r="B32" s="20" t="n">
        <x:f>B22/B21</x:f>
        <x:v>0.4839627039627041</x:v>
      </x:c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 t="str">
        <x:v>Статус и ограничения</x:v>
      </x:c>
      <x:c r="B35" s="1"/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 t="str">
        <x:v>Концепция для выбора помещения и переговоров. Не рабочий проект и не обещание доходности.</x:v>
      </x:c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 t="str">
        <x:v>На 100 м² банкетная комната и сцена трансформируются; полноценная горячая кухня не помещается.</x:v>
      </x:c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 t="str">
        <x:v>Город 300 тыс. жителей — масштаб рынка, а не доказанный спрос. До аренды проверить конкурентов и платежеспособность.</x:v>
      </x:c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 t="str">
        <x:v>Источники: оборудование robotail.ru (ссылки на листе Оборудование), официальные документы в техническом PDF.</x:v>
      </x:c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/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55" hidden="0" customWidth="1"/>
    <x:col min="2" max="2" width="4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RR-FEC-500 | Допущения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 t="str">
        <x:v>Выбор сценария</x:v>
      </x:c>
      <x:c r="B5" s="10" t="n">
        <x:v>4</x:v>
      </x:c>
      <x:c r="C5" s="1"/>
      <x:c r="D5" s="12" t="str">
        <x:v>Исходный</x:v>
      </x:c>
      <x:c r="E5" s="12" t="str">
        <x:v>Спрос −30%</x:v>
      </x:c>
      <x:c r="F5" s="12" t="str">
        <x:v>Спрос +25%</x:v>
      </x:c>
      <x:c r="G5" s="12" t="str">
        <x:v>Целевой 9–18 мес.</x:v>
      </x:c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Название</x:v>
      </x:c>
      <x:c r="B6" s="25" t="str">
        <x:f>CHOOSE(B5,D6,E6,F6,G6)</x:f>
        <x:v>Целевая окупаемость</x:v>
      </x:c>
      <x:c r="C6" s="24"/>
      <x:c r="D6" s="27" t="str">
        <x:v>Исходный</x:v>
      </x:c>
      <x:c r="E6" s="27" t="str">
        <x:v>Консервативный</x:v>
      </x:c>
      <x:c r="F6" s="27" t="str">
        <x:v>Рост</x:v>
      </x:c>
      <x:c r="G6" s="27" t="str">
        <x:v>Целевая окупаемость</x:v>
      </x:c>
      <x:c r="H6" s="24"/>
      <x:c r="I6" s="24"/>
      <x:c r="J6" s="24"/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23" customHeight="1">
      <x:c r="A7" s="1" t="str">
        <x:v>Объемы, множитель</x:v>
      </x:c>
      <x:c r="B7" s="15"/>
      <x:c r="C7" s="7"/>
      <x:c r="D7" s="10" t="n">
        <x:v>1</x:v>
      </x:c>
      <x:c r="E7" s="10" t="n">
        <x:v>0.7</x:v>
      </x:c>
      <x:c r="F7" s="10" t="n">
        <x:v>1.25</x:v>
      </x:c>
      <x:c r="G7" s="10" t="n">
        <x:v>1.483</x:v>
      </x:c>
      <x:c r="H7" s="7"/>
      <x:c r="I7" s="7"/>
      <x:c r="J7" s="7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23" customHeight="1">
      <x:c r="A8" s="1" t="str">
        <x:v>Активный множитель</x:v>
      </x:c>
      <x:c r="B8" s="16" t="n">
        <x:f>CHOOSE(B5,D7,E7,F7,G7)</x:f>
        <x:v>1.483</x:v>
      </x:c>
      <x:c r="C8" s="7"/>
      <x:c r="D8" s="10"/>
      <x:c r="E8" s="10"/>
      <x:c r="F8" s="10"/>
      <x:c r="G8" s="10"/>
      <x:c r="H8" s="7"/>
      <x:c r="I8" s="7"/>
      <x:c r="J8" s="7"/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23" customHeight="1">
      <x:c r="A9" s="1" t="str">
        <x:v>НДС, расчетная ставка</x:v>
      </x:c>
      <x:c r="B9" s="20" t="n">
        <x:f>CHOOSE(B5,D9,E9,F9,G9)</x:f>
        <x:v>0.05</x:v>
      </x:c>
      <x:c r="C9" s="7"/>
      <x:c r="D9" s="10" t="n">
        <x:v>0.05</x:v>
      </x:c>
      <x:c r="E9" s="10" t="n">
        <x:v>0.05</x:v>
      </x:c>
      <x:c r="F9" s="10" t="n">
        <x:v>0.05</x:v>
      </x:c>
      <x:c r="G9" s="10" t="n">
        <x:v>0.05</x:v>
      </x:c>
      <x:c r="H9" s="7"/>
      <x:c r="I9" s="7"/>
      <x:c r="J9" s="7"/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23" customHeight="1">
      <x:c r="A10" s="1" t="str">
        <x:v>УСН, резерв от выручки без НДС</x:v>
      </x:c>
      <x:c r="B10" s="14" t="n">
        <x:v>0.06</x:v>
      </x:c>
      <x:c r="C10" s="7"/>
      <x:c r="D10" s="7"/>
      <x:c r="E10" s="7"/>
      <x:c r="F10" s="7"/>
      <x:c r="G10" s="7"/>
      <x:c r="H10" s="7"/>
      <x:c r="I10" s="7"/>
      <x:c r="J10" s="7"/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23" customHeight="1">
      <x:c r="A11" s="1" t="str">
        <x:v>Эквайринг от платежей</x:v>
      </x:c>
      <x:c r="B11" s="14" t="n">
        <x:v>0.02</x:v>
      </x:c>
      <x:c r="C11" s="7"/>
      <x:c r="D11" s="7"/>
      <x:c r="E11" s="7"/>
      <x:c r="F11" s="7"/>
      <x:c r="G11" s="7"/>
      <x:c r="H11" s="7"/>
      <x:c r="I11" s="7"/>
      <x:c r="J11" s="7"/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23" customHeight="1">
      <x:c r="A12" s="1" t="str">
        <x:v>Резерв обновления от выручки без НДС</x:v>
      </x:c>
      <x:c r="B12" s="14" t="n">
        <x:v>0.02</x:v>
      </x:c>
      <x:c r="C12" s="7"/>
      <x:c r="D12" s="7"/>
      <x:c r="E12" s="7"/>
      <x:c r="F12" s="7"/>
      <x:c r="G12" s="7"/>
      <x:c r="H12" s="7"/>
      <x:c r="I12" s="7"/>
      <x:c r="J12" s="7"/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23" customHeight="1">
      <x:c r="A13" s="1" t="str">
        <x:v>Рост цен за год</x:v>
      </x:c>
      <x:c r="B13" s="14" t="n">
        <x:v>0.03</x:v>
      </x:c>
      <x:c r="C13" s="7"/>
      <x:c r="D13" s="7"/>
      <x:c r="E13" s="7"/>
      <x:c r="F13" s="7"/>
      <x:c r="G13" s="7"/>
      <x:c r="H13" s="7"/>
      <x:c r="I13" s="7"/>
      <x:c r="J13" s="7"/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23" customHeight="1">
      <x:c r="A14" s="1" t="str">
        <x:v>Инфляция затрат за год</x:v>
      </x:c>
      <x:c r="B14" s="14" t="n">
        <x:v>0.05</x:v>
      </x:c>
      <x:c r="C14" s="7"/>
      <x:c r="D14" s="7"/>
      <x:c r="E14" s="7"/>
      <x:c r="F14" s="7"/>
      <x:c r="G14" s="7"/>
      <x:c r="H14" s="7"/>
      <x:c r="I14" s="7"/>
      <x:c r="J14" s="7"/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 t="str">
        <x:v>Взносы работодателя, бюджетный резерв</x:v>
      </x:c>
      <x:c r="B15" s="14" t="n">
        <x:v>0.302</x:v>
      </x:c>
      <x:c r="C15" s="7"/>
      <x:c r="D15" s="7"/>
      <x:c r="E15" s="7"/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 t="str">
        <x:v>Открыто часов в день</x:v>
      </x:c>
      <x:c r="B16" s="10" t="n">
        <x:v>11</x:v>
      </x:c>
      <x:c r="C16" s="7"/>
      <x:c r="D16" s="7"/>
      <x:c r="E16" s="7"/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 t="str">
        <x:v>Среднее пребывание ребенка, часов</x:v>
      </x:c>
      <x:c r="B17" s="16" t="n">
        <x:f>IF(B5=4,2.5,2.5)</x:f>
        <x:v>2.5</x:v>
      </x:c>
      <x:c r="C17" s="7"/>
      <x:c r="D17" s="7"/>
      <x:c r="E17" s="7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 t="str">
        <x:v>Дней работы в месяц</x:v>
      </x:c>
      <x:c r="B18" s="15" t="n">
        <x:v>30</x:v>
      </x:c>
      <x:c r="C18" s="7"/>
      <x:c r="D18" s="7"/>
      <x:c r="E18" s="7"/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 t="str">
        <x:v>Рабочих часов на полную ставку</x:v>
      </x:c>
      <x:c r="B19" s="15" t="n">
        <x:v>168</x:v>
      </x:c>
      <x:c r="C19" s="7"/>
      <x:c r="D19" s="7"/>
      <x:c r="E19" s="7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 t="str">
        <x:v>Запас покрытия отпусков / отсутствий</x:v>
      </x:c>
      <x:c r="B20" s="15" t="n">
        <x:v>0.15</x:v>
      </x:c>
      <x:c r="C20" s="7"/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 t="str">
        <x:v>Открытие и закрытие смены, часов/день</x:v>
      </x:c>
      <x:c r="B21" s="15" t="n">
        <x:v>0.5</x:v>
      </x:c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 t="str">
        <x:v>Покрытие одного поста, FTE</x:v>
      </x:c>
      <x:c r="B22" s="16" t="n">
        <x:f>(B16+B21)*B18/B19*(1+B20)</x:f>
        <x:v>2.3616071428571423</x:v>
      </x:c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 t="str">
        <x:v>Расчетная одновременная вместимость, детей</x:v>
      </x:c>
      <x:c r="B23" s="10" t="n">
        <x:v>65</x:v>
      </x:c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 t="str">
        <x:v>Тариф электричества, ₽/кВт·ч</x:v>
      </x:c>
      <x:c r="B24" s="10" t="n">
        <x:v>9</x:v>
      </x:c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/>
      <x:c r="B25" s="1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/>
      <x:c r="B26" s="1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 t="str">
        <x:v>Как читать модель</x:v>
      </x:c>
      <x:c r="B27" s="1"/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 t="str">
        <x:v>Синие числа — ввод; зеленые формулы — связи листов; черные — расчет.</x:v>
      </x:c>
      <x:c r="B28" s="1"/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 t="str">
        <x:v>Продажи праздников не включают входные билеты и еду: они учтены отдельно.</x:v>
      </x:c>
      <x:c r="B29" s="1"/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 t="str">
        <x:v>№</x:v>
      </x:c>
      <x:c r="B30" s="1" t="str">
        <x:v>Зона</x:v>
      </x:c>
      <x:c r="C30" s="7" t="str">
        <x:v>Объем / месяц</x:v>
      </x:c>
      <x:c r="D30" s="7" t="str">
        <x:v>Цена, ₽</x:v>
      </x:c>
      <x:c r="E30" s="7" t="str">
        <x:v>Прямые, доля</x:v>
      </x:c>
      <x:c r="F30" s="7" t="str">
        <x:v>Себест./ед., ₽</x:v>
      </x:c>
      <x:c r="G30" s="7" t="str">
        <x:v>Вес общих затрат</x:v>
      </x:c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 t="n">
        <x:v>1</x:v>
      </x:c>
      <x:c r="B31" s="1" t="str">
        <x:v>Входные билеты и свободная игра</x:v>
      </x:c>
      <x:c r="C31" s="10" t="n">
        <x:v>2800</x:v>
      </x:c>
      <x:c r="D31" s="10" t="n">
        <x:v>750</x:v>
      </x:c>
      <x:c r="E31" s="14" t="n">
        <x:v>0.02</x:v>
      </x:c>
      <x:c r="F31" s="10" t="n">
        <x:v>0</x:v>
      </x:c>
      <x:c r="G31" s="14" t="n">
        <x:v>0.35</x:v>
      </x:c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 t="n">
        <x:v>2</x:v>
      </x:c>
      <x:c r="B32" s="1" t="str">
        <x:v>Технологические аттракционы</x:v>
      </x:c>
      <x:c r="C32" s="10" t="n">
        <x:v>800</x:v>
      </x:c>
      <x:c r="D32" s="10" t="n">
        <x:v>180</x:v>
      </x:c>
      <x:c r="E32" s="14" t="n">
        <x:v>0.05</x:v>
      </x:c>
      <x:c r="F32" s="10" t="n">
        <x:v>0</x:v>
      </x:c>
      <x:c r="G32" s="14" t="n">
        <x:v>0.15</x:v>
      </x:c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 t="n">
        <x:v>3</x:v>
      </x:c>
      <x:c r="B33" s="1" t="str">
        <x:v>Аркады и семейные игры</x:v>
      </x:c>
      <x:c r="C33" s="10" t="n">
        <x:v>2400</x:v>
      </x:c>
      <x:c r="D33" s="10" t="n">
        <x:v>140</x:v>
      </x:c>
      <x:c r="E33" s="14" t="n">
        <x:v>0.2</x:v>
      </x:c>
      <x:c r="F33" s="10" t="n">
        <x:v>0</x:v>
      </x:c>
      <x:c r="G33" s="14" t="n">
        <x:v>0.12</x:v>
      </x:c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 t="n">
        <x:v>4</x:v>
      </x:c>
      <x:c r="B34" s="1" t="str">
        <x:v>Банкетные комнаты и ведущий</x:v>
      </x:c>
      <x:c r="C34" s="10" t="n">
        <x:v>28</x:v>
      </x:c>
      <x:c r="D34" s="10" t="n">
        <x:v>16000</x:v>
      </x:c>
      <x:c r="E34" s="14" t="n">
        <x:v>0.25</x:v>
      </x:c>
      <x:c r="F34" s="10" t="n">
        <x:v>0</x:v>
      </x:c>
      <x:c r="G34" s="14" t="n">
        <x:v>0.12</x:v>
      </x:c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 t="n">
        <x:v>5</x:v>
      </x:c>
      <x:c r="B35" s="1" t="str">
        <x:v>Кафе и ожидание родителей</x:v>
      </x:c>
      <x:c r="C35" s="10" t="n">
        <x:v>1500</x:v>
      </x:c>
      <x:c r="D35" s="10" t="n">
        <x:v>500</x:v>
      </x:c>
      <x:c r="E35" s="14" t="n">
        <x:v>0.35</x:v>
      </x:c>
      <x:c r="F35" s="10" t="n">
        <x:v>0</x:v>
      </x:c>
      <x:c r="G35" s="14" t="n">
        <x:v>0.14</x:v>
      </x:c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 t="n">
        <x:v>6</x:v>
      </x:c>
      <x:c r="B36" s="1" t="str">
        <x:v>Платные мастер-классы</x:v>
      </x:c>
      <x:c r="C36" s="10" t="n">
        <x:v>120</x:v>
      </x:c>
      <x:c r="D36" s="10" t="n">
        <x:v>450</x:v>
      </x:c>
      <x:c r="E36" s="14" t="n">
        <x:v>0.3</x:v>
      </x:c>
      <x:c r="F36" s="10" t="n">
        <x:v>0</x:v>
      </x:c>
      <x:c r="G36" s="14" t="n">
        <x:v>0.08</x:v>
      </x:c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 t="n">
        <x:v>7</x:v>
      </x:c>
      <x:c r="B37" s="1" t="str">
        <x:v>Нейрофото</x:v>
      </x:c>
      <x:c r="C37" s="10" t="n">
        <x:v>250</x:v>
      </x:c>
      <x:c r="D37" s="10" t="n">
        <x:v>200</x:v>
      </x:c>
      <x:c r="E37" s="14" t="n">
        <x:v>0</x:v>
      </x:c>
      <x:c r="F37" s="10" t="n">
        <x:v>50</x:v>
      </x:c>
      <x:c r="G37" s="14" t="n">
        <x:v>0.04</x:v>
      </x:c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/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/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 t="str">
        <x:v>Месяц</x:v>
      </x:c>
      <x:c r="B41" s="1" t="str">
        <x:v>Сезонность, индекс</x:v>
      </x:c>
      <x:c r="C41" s="7" t="str">
        <x:v>Нормированный индекс</x:v>
      </x:c>
      <x:c r="D41" s="7" t="str">
        <x:v>Разгон посещаемости</x:v>
      </x:c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 t="n">
        <x:v>1</x:v>
      </x:c>
      <x:c r="B42" s="1" t="n">
        <x:v>1.1</x:v>
      </x:c>
      <x:c r="C42" s="16" t="n">
        <x:f>B42/AVERAGE($B$42:$B$53)</x:f>
        <x:v>1.1186440677966103</x:v>
      </x:c>
      <x:c r="D42" s="16" t="n">
        <x:v>0.45</x:v>
      </x:c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 t="n">
        <x:v>2</x:v>
      </x:c>
      <x:c r="B43" s="1" t="n">
        <x:v>1.05</x:v>
      </x:c>
      <x:c r="C43" s="16" t="n">
        <x:f>B43/AVERAGE($B$42:$B$53)</x:f>
        <x:v>1.0677966101694916</x:v>
      </x:c>
      <x:c r="D43" s="16" t="n">
        <x:v>0.55</x:v>
      </x:c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 t="n">
        <x:v>3</x:v>
      </x:c>
      <x:c r="B44" s="1" t="n">
        <x:v>1</x:v>
      </x:c>
      <x:c r="C44" s="16" t="n">
        <x:f>B44/AVERAGE($B$42:$B$53)</x:f>
        <x:v>1.0169491525423728</x:v>
      </x:c>
      <x:c r="D44" s="16" t="n">
        <x:v>0.65</x:v>
      </x:c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 t="n">
        <x:v>4</x:v>
      </x:c>
      <x:c r="B45" s="1" t="n">
        <x:v>0.9</x:v>
      </x:c>
      <x:c r="C45" s="16" t="n">
        <x:f>B45/AVERAGE($B$42:$B$53)</x:f>
        <x:v>0.9152542372881356</x:v>
      </x:c>
      <x:c r="D45" s="16" t="n">
        <x:v>0.75</x:v>
      </x:c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 t="n">
        <x:v>5</x:v>
      </x:c>
      <x:c r="B46" s="1" t="n">
        <x:v>0.85</x:v>
      </x:c>
      <x:c r="C46" s="16" t="n">
        <x:f>B46/AVERAGE($B$42:$B$53)</x:f>
        <x:v>0.8644067796610169</x:v>
      </x:c>
      <x:c r="D46" s="16" t="n">
        <x:v>0.85</x:v>
      </x:c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 t="n">
        <x:v>6</x:v>
      </x:c>
      <x:c r="B47" s="1" t="n">
        <x:v>0.7</x:v>
      </x:c>
      <x:c r="C47" s="16" t="n">
        <x:f>B47/AVERAGE($B$42:$B$53)</x:f>
        <x:v>0.7118644067796609</x:v>
      </x:c>
      <x:c r="D47" s="16" t="n">
        <x:v>0.9</x:v>
      </x:c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 t="n">
        <x:v>7</x:v>
      </x:c>
      <x:c r="B48" s="1" t="n">
        <x:v>0.75</x:v>
      </x:c>
      <x:c r="C48" s="16" t="n">
        <x:f>B48/AVERAGE($B$42:$B$53)</x:f>
        <x:v>0.7627118644067796</x:v>
      </x:c>
      <x:c r="D48" s="16" t="n">
        <x:v>0.95</x:v>
      </x:c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 t="n">
        <x:v>8</x:v>
      </x:c>
      <x:c r="B49" s="1" t="n">
        <x:v>0.8</x:v>
      </x:c>
      <x:c r="C49" s="16" t="n">
        <x:f>B49/AVERAGE($B$42:$B$53)</x:f>
        <x:v>0.8135593220338982</x:v>
      </x:c>
      <x:c r="D49" s="16" t="n">
        <x:v>1</x:v>
      </x:c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 t="n">
        <x:v>9</x:v>
      </x:c>
      <x:c r="B50" s="1" t="n">
        <x:v>1.05</x:v>
      </x:c>
      <x:c r="C50" s="16" t="n">
        <x:f>B50/AVERAGE($B$42:$B$53)</x:f>
        <x:v>1.0677966101694916</x:v>
      </x:c>
      <x:c r="D50" s="16" t="n">
        <x:v>1</x:v>
      </x:c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 t="n">
        <x:v>10</x:v>
      </x:c>
      <x:c r="B51" s="1" t="n">
        <x:v>1.15</x:v>
      </x:c>
      <x:c r="C51" s="16" t="n">
        <x:f>B51/AVERAGE($B$42:$B$53)</x:f>
        <x:v>1.1694915254237286</x:v>
      </x:c>
      <x:c r="D51" s="16" t="n">
        <x:v>1</x:v>
      </x:c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 t="n">
        <x:v>11</x:v>
      </x:c>
      <x:c r="B52" s="1" t="n">
        <x:v>1.2</x:v>
      </x:c>
      <x:c r="C52" s="16" t="n">
        <x:f>B52/AVERAGE($B$42:$B$53)</x:f>
        <x:v>1.2203389830508473</x:v>
      </x:c>
      <x:c r="D52" s="16" t="n">
        <x:v>1</x:v>
      </x:c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 t="n">
        <x:v>12</x:v>
      </x:c>
      <x:c r="B53" s="1" t="n">
        <x:v>1.25</x:v>
      </x:c>
      <x:c r="C53" s="16" t="n">
        <x:f>B53/AVERAGE($B$42:$B$53)</x:f>
        <x:v>1.271186440677966</x:v>
      </x:c>
      <x:c r="D53" s="16" t="n">
        <x:v>1</x:v>
      </x:c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 t="str">
        <x:v>Ограничения</x:v>
      </x:c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 t="str">
        <x:v>М1 условно январь. Для другой даты открытия перенесите сезонность, сохранив средний индекс 1.</x:v>
      </x:c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 t="str">
        <x:v>Налоги — консервативный резерв для сравнения; налоговый режим проверяется для юридического лица и года запуска.</x:v>
      </x:c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 t="str">
        <x:v>Зарплаты — бюджетные ориентиры для города 300 тыс. жителей, не исследование рынка вакансий.</x:v>
      </x:c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 t="str">
        <x:v>Все продажи, аренда, ставки и сроки нуждаются в локальной проверке до инвестирования.</x:v>
      </x:c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 t="str">
        <x:v>Сценарий 4 решает обратную задачу окупаемости; требуемый спрос не подтвержден рынком.</x:v>
      </x:c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 t="str">
        <x:v>100 м²: целевой сценарий требует сеансов в среднем 90 минут и бронирования по времени.</x:v>
      </x:c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dataValidations count="1">
    <x:dataValidation type="list" sqref="B5">
      <x:formula1>"1,2,3,4"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44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48" hidden="0" customWidth="1"/>
    <x:col min="9" max="9" width="48" hidden="0" customWidth="1"/>
    <x:col min="10" max="10" width="4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RR-FEC-500 | Оборудование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Код</x:v>
      </x:c>
      <x:c r="B6" s="25" t="str">
        <x:v>Оборудование RR</x:v>
      </x:c>
      <x:c r="C6" s="24" t="str">
        <x:v>Кол-во</x:v>
      </x:c>
      <x:c r="D6" s="24" t="str">
        <x:v>Цена, ₽</x:v>
      </x:c>
      <x:c r="E6" s="24" t="str">
        <x:v>Сумма, ₽</x:v>
      </x:c>
      <x:c r="F6" s="24" t="str">
        <x:v>кВт/ед.</x:v>
      </x:c>
      <x:c r="G6" s="24" t="str">
        <x:v>Всего кВт</x:v>
      </x:c>
      <x:c r="H6" s="24" t="str">
        <x:v>Источник / статус мощности</x:v>
      </x:c>
      <x:c r="I6" s="24"/>
      <x:c r="J6" s="24"/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38" customHeight="1">
      <x:c r="A7" s="1" t="str">
        <x:v>M3</x:v>
      </x:c>
      <x:c r="B7" s="28" t="str">
        <x:v>Лабиринт «Непоседа»</x:v>
      </x:c>
      <x:c r="C7" s="10" t="n">
        <x:v>1</x:v>
      </x:c>
      <x:c r="D7" s="10" t="n">
        <x:v>1779380</x:v>
      </x:c>
      <x:c r="E7" s="7" t="n">
        <x:f>C7*D7</x:f>
        <x:v>1779380</x:v>
      </x:c>
      <x:c r="F7" s="19" t="n">
        <x:v>0</x:v>
      </x:c>
      <x:c r="G7" s="18" t="n">
        <x:f>C7*F7</x:f>
        <x:v>0</x:v>
      </x:c>
      <x:c r="H7" s="28" t="str">
        <x:v>Пассивный</x:v>
      </x:c>
      <x:c r="I7" s="28" t="str">
        <x:v>https://robotail.ru/product/detskiy-igrovoy-labirint-neposeda-44-m-96464-m</x:v>
      </x:c>
      <x:c r="J7" s="28" t="str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38" customHeight="1">
      <x:c r="A8" s="1" t="str">
        <x:v>P1</x:v>
      </x:c>
      <x:c r="B8" s="28" t="str">
        <x:v>Pixel Battle 96: полный комплект</x:v>
      </x:c>
      <x:c r="C8" s="10" t="n">
        <x:v>1</x:v>
      </x:c>
      <x:c r="D8" s="10" t="n">
        <x:v>808840</x:v>
      </x:c>
      <x:c r="E8" s="7" t="n">
        <x:f>C8*D8</x:f>
        <x:v>808840</x:v>
      </x:c>
      <x:c r="F8" s="19" t="n">
        <x:v>2</x:v>
      </x:c>
      <x:c r="G8" s="18" t="n">
        <x:f>C8*F8</x:f>
        <x:v>2</x:v>
      </x:c>
      <x:c r="H8" s="28" t="str">
        <x:v>Резерв, паспорт не опубликован</x:v>
      </x:c>
      <x:c r="I8" s="28" t="str">
        <x:v>https://robotail.ru/product/gotovaya-igrovaya-arena-pixel-battle-96-plitok-komplekt-vsyo-vklyucheno</x:v>
      </x:c>
      <x:c r="J8" s="28" t="str">
        <x:v>Поле, ПК, игры, звук, стойка, ТВ, шкаф и кабели в комплекте; не считать повторно.</x:v>
      </x:c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38" customHeight="1">
      <x:c r="A9" s="1" t="str">
        <x:v>W1</x:v>
      </x:c>
      <x:c r="B9" s="28" t="str">
        <x:v>Проектор настенный NEW</x:v>
      </x:c>
      <x:c r="C9" s="10" t="n">
        <x:v>1</x:v>
      </x:c>
      <x:c r="D9" s="10" t="n">
        <x:v>189000</x:v>
      </x:c>
      <x:c r="E9" s="7" t="n">
        <x:f>C9*D9</x:f>
        <x:v>189000</x:v>
      </x:c>
      <x:c r="F9" s="19" t="n">
        <x:v>0.8</x:v>
      </x:c>
      <x:c r="G9" s="18" t="n">
        <x:f>C9*F9</x:f>
        <x:v>0.8</x:v>
      </x:c>
      <x:c r="H9" s="28" t="str">
        <x:v>Расчетный резерв</x:v>
      </x:c>
      <x:c r="I9" s="28" t="str">
        <x:v>https://robotail.ru/product/interaktivnyy-proektor-nastennyy-new-maksimalnaya-komplektatsiya</x:v>
      </x:c>
      <x:c r="J9" s="28" t="str">
        <x:v>Габарит на плане — игровая зона, не корпус. Монтаж по оптике проектора.</x:v>
      </x:c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38" customHeight="1">
      <x:c r="A10" s="1" t="str">
        <x:v>F1</x:v>
      </x:c>
      <x:c r="B10" s="28" t="str">
        <x:v>Проектор напольный Max</x:v>
      </x:c>
      <x:c r="C10" s="10" t="n">
        <x:v>1</x:v>
      </x:c>
      <x:c r="D10" s="10" t="n">
        <x:v>210000</x:v>
      </x:c>
      <x:c r="E10" s="7" t="n">
        <x:f>C10*D10</x:f>
        <x:v>210000</x:v>
      </x:c>
      <x:c r="F10" s="19" t="n">
        <x:v>0.8</x:v>
      </x:c>
      <x:c r="G10" s="18" t="n">
        <x:f>C10*F10</x:f>
        <x:v>0.8</x:v>
      </x:c>
      <x:c r="H10" s="28" t="str">
        <x:v>Расчетный резерв</x:v>
      </x:c>
      <x:c r="I10" s="28" t="str">
        <x:v>https://robotail.ru/product/interaktivnyy-proektor-napolnyy-maksimalnaya-komplektatsiya</x:v>
      </x:c>
      <x:c r="J10" s="28" t="str">
        <x:v>Габарит — игровое поле. ПК и крепеж учтены в комплекте.</x:v>
      </x:c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38" customHeight="1">
      <x:c r="A11" s="1" t="str">
        <x:v>A1</x:v>
      </x:c>
      <x:c r="B11" s="28" t="str">
        <x:v>Аркада «4 в ряд 2.0», базовая</x:v>
      </x:c>
      <x:c r="C11" s="10" t="n">
        <x:v>2</x:v>
      </x:c>
      <x:c r="D11" s="10" t="n">
        <x:v>362000</x:v>
      </x:c>
      <x:c r="E11" s="7" t="n">
        <x:f>C11*D11</x:f>
        <x:v>724000</x:v>
      </x:c>
      <x:c r="F11" s="19" t="n">
        <x:v>0.13</x:v>
      </x:c>
      <x:c r="G11" s="18" t="n">
        <x:f>C11*F11</x:f>
        <x:v>0.26</x:v>
      </x:c>
      <x:c r="H11" s="28" t="str">
        <x:v>130 Вт по сайту</x:v>
      </x:c>
      <x:c r="I11" s="28" t="str">
        <x:v>https://robotail.ru/product/prizovoy-arkadnyy-avtomat-4-v-ryad-20</x:v>
      </x:c>
      <x:c r="J11" s="28" t="str">
        <x:v>Без витрины. В проекте только режим навыка и прозрачные баллы, без денежных призов.</x:v>
      </x:c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38" customHeight="1">
      <x:c r="A12" s="1" t="str">
        <x:v>A2</x:v>
      </x:c>
      <x:c r="B12" s="28" t="str">
        <x:v>Retro Games «Комиксы»</x:v>
      </x:c>
      <x:c r="C12" s="10" t="n">
        <x:v>2</x:v>
      </x:c>
      <x:c r="D12" s="10" t="n">
        <x:v>145600</x:v>
      </x:c>
      <x:c r="E12" s="7" t="n">
        <x:f>C12*D12</x:f>
        <x:v>291200</x:v>
      </x:c>
      <x:c r="F12" s="19" t="n">
        <x:v>0.15</x:v>
      </x:c>
      <x:c r="G12" s="18" t="n">
        <x:f>C12*F12</x:f>
        <x:v>0.3</x:v>
      </x:c>
      <x:c r="H12" s="28" t="str">
        <x:v>150 Вт по сайту</x:v>
      </x:c>
      <x:c r="I12" s="28" t="str">
        <x:v>https://robotail.ru/product/retro-games-komiksy-arkadnyy-avtomat</x:v>
      </x:c>
      <x:c r="J12" s="28" t="str">
        <x:v>7+ по карточке.</x:v>
      </x:c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38" customHeight="1">
      <x:c r="A13" s="1" t="str">
        <x:v>A3</x:v>
      </x:c>
      <x:c r="B13" s="28" t="str">
        <x:v>Супер Драйв</x:v>
      </x:c>
      <x:c r="C13" s="10" t="n">
        <x:v>2</x:v>
      </x:c>
      <x:c r="D13" s="10" t="n">
        <x:v>168000</x:v>
      </x:c>
      <x:c r="E13" s="7" t="n">
        <x:f>C13*D13</x:f>
        <x:v>336000</x:v>
      </x:c>
      <x:c r="F13" s="19" t="n">
        <x:v>0.3</x:v>
      </x:c>
      <x:c r="G13" s="18" t="n">
        <x:f>C13*F13</x:f>
        <x:v>0.6</x:v>
      </x:c>
      <x:c r="H13" s="28" t="str">
        <x:v>Расчетный резерв</x:v>
      </x:c>
      <x:c r="I13" s="28" t="str">
        <x:v>https://robotail.ru/product/super-drayv-detskiy-gonochnyy-video-simulyator</x:v>
      </x:c>
      <x:c r="J13" s="28" t="str">
        <x:v>5+ по карточке.</x:v>
      </x:c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38" customHeight="1">
      <x:c r="A14" s="1" t="str">
        <x:v>A4</x:v>
      </x:c>
      <x:c r="B14" s="28" t="str">
        <x:v>Аэрохоккей стальной с лампой 220×120</x:v>
      </x:c>
      <x:c r="C14" s="10" t="n">
        <x:v>1</x:v>
      </x:c>
      <x:c r="D14" s="10" t="n">
        <x:v>237500</x:v>
      </x:c>
      <x:c r="E14" s="7" t="n">
        <x:f>C14*D14</x:f>
        <x:v>237500</x:v>
      </x:c>
      <x:c r="F14" s="19" t="n">
        <x:v>0.5</x:v>
      </x:c>
      <x:c r="G14" s="18" t="n">
        <x:f>C14*F14</x:f>
        <x:v>0.5</x:v>
      </x:c>
      <x:c r="H14" s="28" t="str">
        <x:v>Расчетный резерв</x:v>
      </x:c>
      <x:c r="I14" s="28" t="str">
        <x:v>https://robotail.ru/product/aerohokkey-kosmos-22012075-sm-plexiglas</x:v>
      </x:c>
      <x:c r="J14" s="28" t="str">
        <x:v>175 кг; рабочая зона с игроками ориентировочно 4,4×2,2 м. 7+.</x:v>
      </x:c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38" customHeight="1">
      <x:c r="A15" s="1" t="str">
        <x:v>C1</x:v>
      </x:c>
      <x:c r="B15" s="28" t="str">
        <x:v>Шахматный робот Chess</x:v>
      </x:c>
      <x:c r="C15" s="10" t="n">
        <x:v>1</x:v>
      </x:c>
      <x:c r="D15" s="10" t="n">
        <x:v>149000</x:v>
      </x:c>
      <x:c r="E15" s="7" t="n">
        <x:f>C15*D15</x:f>
        <x:v>149000</x:v>
      </x:c>
      <x:c r="F15" s="19" t="n">
        <x:v>0.05</x:v>
      </x:c>
      <x:c r="G15" s="18" t="n">
        <x:f>C15*F15</x:f>
        <x:v>0.05</x:v>
      </x:c>
      <x:c r="H15" s="28" t="str">
        <x:v>Расчетный резерв</x:v>
      </x:c>
      <x:c r="I15" s="28" t="str">
        <x:v>https://robotail.ru/product/shahmatnyy-robot-chess</x:v>
      </x:c>
      <x:c r="J15" s="28" t="str">
        <x:v>На столе в кафе, отдельная выручка не начисляется.</x:v>
      </x:c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38" customHeight="1">
      <x:c r="A16" s="1" t="str">
        <x:v>H1</x:v>
      </x:c>
      <x:c r="B16" s="28" t="str">
        <x:v>Нейрофотостойка 43 дюйма</x:v>
      </x:c>
      <x:c r="C16" s="10" t="n">
        <x:v>1</x:v>
      </x:c>
      <x:c r="D16" s="10" t="n">
        <x:v>520000</x:v>
      </x:c>
      <x:c r="E16" s="7" t="n">
        <x:f>C16*D16</x:f>
        <x:v>520000</x:v>
      </x:c>
      <x:c r="F16" s="19" t="n">
        <x:v>0.078</x:v>
      </x:c>
      <x:c r="G16" s="18" t="n">
        <x:f>C16*F16</x:f>
        <x:v>0.078</x:v>
      </x:c>
      <x:c r="H16" s="28" t="str">
        <x:v>78 Вт по сайту</x:v>
      </x:c>
      <x:c r="I16" s="28" t="str">
        <x:v>https://robotail.ru/product/avtomat-momentalnogo-volshebstva-foto-neyroset</x:v>
      </x:c>
      <x:c r="J16" s="28" t="str">
        <x:v>Бумага, ИИ-тариф и согласия на фото уточняются; 50 ₽/снимок — допущение.</x:v>
      </x:c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38" customHeight="1">
      <x:c r="A17" s="1" t="str">
        <x:v>B1</x:v>
      </x:c>
      <x:c r="B17" s="28" t="str">
        <x:v>Сухой бассейн «Лягушонок» 1,2 м</x:v>
      </x:c>
      <x:c r="C17" s="10" t="n">
        <x:v>1</x:v>
      </x:c>
      <x:c r="D17" s="10" t="n">
        <x:v>20580</x:v>
      </x:c>
      <x:c r="E17" s="7" t="n">
        <x:f>C17*D17</x:f>
        <x:v>20580</x:v>
      </x:c>
      <x:c r="F17" s="19" t="n">
        <x:v>0</x:v>
      </x:c>
      <x:c r="G17" s="18" t="n">
        <x:f>C17*F17</x:f>
        <x:v>0</x:v>
      </x:c>
      <x:c r="H17" s="28" t="str">
        <x:v>Пассивный</x:v>
      </x:c>
      <x:c r="I17" s="28" t="str">
        <x:v>https://robotail.ru/product/basseyn-kvadratnyy-lyagushonok-razbornyy-120h120h40-sm</x:v>
      </x:c>
      <x:c r="J17" s="28" t="str">
        <x:v>Выбран первый вариант 120×120×40 см.</x:v>
      </x:c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38" customHeight="1">
      <x:c r="A18" s="1" t="str">
        <x:v>S1</x:v>
      </x:c>
      <x:c r="B18" s="28" t="str">
        <x:v>Мягкий конструктор «Форт», 17 элементов</x:v>
      </x:c>
      <x:c r="C18" s="10" t="n">
        <x:v>3</x:v>
      </x:c>
      <x:c r="D18" s="10" t="n">
        <x:v>17900</x:v>
      </x:c>
      <x:c r="E18" s="7" t="n">
        <x:f>C18*D18</x:f>
        <x:v>53700</x:v>
      </x:c>
      <x:c r="F18" s="19" t="n">
        <x:v>0</x:v>
      </x:c>
      <x:c r="G18" s="18" t="n">
        <x:f>C18*F18</x:f>
        <x:v>0</x:v>
      </x:c>
      <x:c r="H18" s="28" t="str">
        <x:v>Пассивный</x:v>
      </x:c>
      <x:c r="I18" s="28" t="str">
        <x:v>https://robotail.ru/product/detskie-moduli-konstruktor-fort-17-el</x:v>
      </x:c>
      <x:c r="J18" s="28" t="str">
        <x:v>2×2 м — зона игры, не габарит упаковки; наборы хранятся в стеллаже и выдаются поочередно.</x:v>
      </x:c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38" customHeight="1">
      <x:c r="A19" s="1" t="str">
        <x:v>B3</x:v>
      </x:c>
      <x:c r="B19" s="28" t="str">
        <x:v>Шарики для бассейна 70 мм, дополнительный запас</x:v>
      </x:c>
      <x:c r="C19" s="10" t="n">
        <x:v>5000</x:v>
      </x:c>
      <x:c r="D19" s="10" t="n">
        <x:v>6</x:v>
      </x:c>
      <x:c r="E19" s="7" t="n">
        <x:f>C19*D19</x:f>
        <x:v>30000</x:v>
      </x:c>
      <x:c r="F19" s="19" t="n">
        <x:v>0</x:v>
      </x:c>
      <x:c r="G19" s="18" t="n">
        <x:f>C19*F19</x:f>
        <x:v>0</x:v>
      </x:c>
      <x:c r="H19" s="28" t="str">
        <x:v>Пассивный</x:v>
      </x:c>
      <x:c r="I19" s="28" t="str">
        <x:v>https://robotail.ru/product/shariki-dlya-suhogo-basseyna-70-mm-2</x:v>
      </x:c>
      <x:c r="J19" s="28" t="str">
        <x:v>Количество предварительное. Исключить дубли с шарами из комплектации лабиринта по итоговой ведомости.</x:v>
      </x:c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38" customHeight="1">
      <x:c r="A20" s="1" t="str">
        <x:v>R1</x:v>
      </x:c>
      <x:c r="B20" s="28" t="str">
        <x:v>Шаромойка Компакт с сушкой</x:v>
      </x:c>
      <x:c r="C20" s="10" t="n">
        <x:v>1</x:v>
      </x:c>
      <x:c r="D20" s="10" t="n">
        <x:v>450000</x:v>
      </x:c>
      <x:c r="E20" s="7" t="n">
        <x:f>C20*D20</x:f>
        <x:v>450000</x:v>
      </x:c>
      <x:c r="F20" s="19" t="n">
        <x:v>2.5</x:v>
      </x:c>
      <x:c r="G20" s="18" t="n">
        <x:f>C20*F20</x:f>
        <x:v>2.5</x:v>
      </x:c>
      <x:c r="H20" s="28" t="str">
        <x:v>2,5 кВт по сайту</x:v>
      </x:c>
      <x:c r="I20" s="28" t="str">
        <x:v>https://robotail.ru/product/sharomoyka-kompakt-s-sushkoy</x:v>
      </x:c>
      <x:c r="J20" s="28" t="str">
        <x:v>Отдельная хозяйственная мойка, водоподготовка, слив и влажная электрозона.</x:v>
      </x:c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38" customHeight="1">
      <x:c r="A21" s="1"/>
      <x:c r="B21" s="28" t="str">
        <x:v>ИТОГО</x:v>
      </x:c>
      <x:c r="C21" s="7"/>
      <x:c r="D21" s="7"/>
      <x:c r="E21" s="7" t="n">
        <x:f>SUM(E7:E20)</x:f>
        <x:v>5799200</x:v>
      </x:c>
      <x:c r="F21" s="18"/>
      <x:c r="G21" s="18" t="n">
        <x:f>SUM(G7:G20)</x:f>
        <x:v>7.887999999999999</x:v>
      </x:c>
      <x:c r="H21" s="28"/>
      <x:c r="I21" s="28"/>
      <x:c r="J21" s="28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/>
      <x:c r="B22" s="7"/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/>
      <x:c r="B24" s="7"/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/>
      <x:c r="B25" s="1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/>
      <x:c r="B26" s="1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/>
      <x:c r="B27" s="1"/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/>
      <x:c r="B28" s="1"/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/>
      <x:c r="B29" s="1"/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/>
      <x:c r="B30" s="1"/>
      <x:c r="C30" s="7"/>
      <x:c r="D30" s="7"/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/>
      <x:c r="B31" s="1"/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/>
      <x:c r="B32" s="1"/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/>
      <x:c r="B35" s="1"/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/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/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/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/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/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4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RR-FEC-500 | Персонал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№</x:v>
      </x:c>
      <x:c r="B6" s="25" t="str">
        <x:v>Должность</x:v>
      </x:c>
      <x:c r="C6" s="24" t="str">
        <x:v>FTE, ставок</x:v>
      </x:c>
      <x:c r="D6" s="24" t="str">
        <x:v>Оклад gross, ₽</x:v>
      </x:c>
      <x:c r="E6" s="24" t="str">
        <x:v>ФОТ gross, ₽</x:v>
      </x:c>
      <x:c r="F6" s="24" t="str">
        <x:v>Постов одновременно</x:v>
      </x:c>
      <x:c r="G6" s="24"/>
      <x:c r="H6" s="24"/>
      <x:c r="I6" s="24"/>
      <x:c r="J6" s="24"/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23" customHeight="1">
      <x:c r="A7" s="1" t="n">
        <x:v>1</x:v>
      </x:c>
      <x:c r="B7" s="7" t="str">
        <x:v>Администратор / касса</x:v>
      </x:c>
      <x:c r="C7" s="17" t="n">
        <x:f>F7*ROUND('Допущения'!$B$22,2)</x:f>
        <x:v>2.36</x:v>
      </x:c>
      <x:c r="D7" s="10" t="n">
        <x:v>45000</x:v>
      </x:c>
      <x:c r="E7" s="7" t="n">
        <x:f>C7*D7</x:f>
        <x:v>106200</x:v>
      </x:c>
      <x:c r="F7" s="7" t="n">
        <x:v>1</x:v>
      </x:c>
      <x:c r="G7" s="7"/>
      <x:c r="H7" s="7"/>
      <x:c r="I7" s="7"/>
      <x:c r="J7" s="7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23" customHeight="1">
      <x:c r="A8" s="1" t="n">
        <x:v>2</x:v>
      </x:c>
      <x:c r="B8" s="7" t="str">
        <x:v>Оператор игровых зон</x:v>
      </x:c>
      <x:c r="C8" s="17" t="n">
        <x:f>F8*ROUND('Допущения'!$B$22,2)</x:f>
        <x:v>7.08</x:v>
      </x:c>
      <x:c r="D8" s="10" t="n">
        <x:v>45000</x:v>
      </x:c>
      <x:c r="E8" s="7" t="n">
        <x:f>C8*D8</x:f>
        <x:v>318600</x:v>
      </x:c>
      <x:c r="F8" s="7" t="n">
        <x:v>3</x:v>
      </x:c>
      <x:c r="G8" s="7"/>
      <x:c r="H8" s="7"/>
      <x:c r="I8" s="7"/>
      <x:c r="J8" s="7"/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23" customHeight="1">
      <x:c r="A9" s="1" t="n">
        <x:v>3</x:v>
      </x:c>
      <x:c r="B9" s="7" t="str">
        <x:v>Бариста / работник кафе</x:v>
      </x:c>
      <x:c r="C9" s="17" t="n">
        <x:f>F9*ROUND('Допущения'!$B$22,2)</x:f>
        <x:v>2.36</x:v>
      </x:c>
      <x:c r="D9" s="10" t="n">
        <x:v>45000</x:v>
      </x:c>
      <x:c r="E9" s="7" t="n">
        <x:f>C9*D9</x:f>
        <x:v>106200</x:v>
      </x:c>
      <x:c r="F9" s="7" t="n">
        <x:v>1</x:v>
      </x:c>
      <x:c r="G9" s="7"/>
      <x:c r="H9" s="7"/>
      <x:c r="I9" s="7"/>
      <x:c r="J9" s="7"/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23" customHeight="1">
      <x:c r="A10" s="1" t="n">
        <x:v>4</x:v>
      </x:c>
      <x:c r="B10" s="7" t="str">
        <x:v>Повар</x:v>
      </x:c>
      <x:c r="C10" s="17" t="n">
        <x:f>F10*ROUND('Допущения'!$B$22,2)</x:f>
        <x:v>2.36</x:v>
      </x:c>
      <x:c r="D10" s="10" t="n">
        <x:v>55000</x:v>
      </x:c>
      <x:c r="E10" s="7" t="n">
        <x:f>C10*D10</x:f>
        <x:v>129800</x:v>
      </x:c>
      <x:c r="F10" s="7" t="n">
        <x:v>1</x:v>
      </x:c>
      <x:c r="G10" s="7"/>
      <x:c r="H10" s="7"/>
      <x:c r="I10" s="7"/>
      <x:c r="J10" s="7"/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23" customHeight="1">
      <x:c r="A11" s="1" t="n">
        <x:v>5</x:v>
      </x:c>
      <x:c r="B11" s="7" t="str">
        <x:v>Управляющий / старший смены</x:v>
      </x:c>
      <x:c r="C11" s="15" t="n">
        <x:v>1</x:v>
      </x:c>
      <x:c r="D11" s="10" t="n">
        <x:v>75000</x:v>
      </x:c>
      <x:c r="E11" s="7" t="n">
        <x:f>C11*D11</x:f>
        <x:v>75000</x:v>
      </x:c>
      <x:c r="F11" s="7"/>
      <x:c r="G11" s="7"/>
      <x:c r="H11" s="7"/>
      <x:c r="I11" s="7"/>
      <x:c r="J11" s="7"/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23" customHeight="1">
      <x:c r="A12" s="1" t="n">
        <x:v>6</x:v>
      </x:c>
      <x:c r="B12" s="7" t="str">
        <x:v>Уборщик</x:v>
      </x:c>
      <x:c r="C12" s="15" t="n">
        <x:v>1.5</x:v>
      </x:c>
      <x:c r="D12" s="10" t="n">
        <x:v>38000</x:v>
      </x:c>
      <x:c r="E12" s="7" t="n">
        <x:f>C12*D12</x:f>
        <x:v>57000</x:v>
      </x:c>
      <x:c r="F12" s="7"/>
      <x:c r="G12" s="7"/>
      <x:c r="H12" s="7"/>
      <x:c r="I12" s="7"/>
      <x:c r="J12" s="7"/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23" customHeight="1">
      <x:c r="A13" s="1" t="n">
        <x:v>7</x:v>
      </x:c>
      <x:c r="B13" s="7" t="str">
        <x:v>Техник</x:v>
      </x:c>
      <x:c r="C13" s="15" t="n">
        <x:v>0.7</x:v>
      </x:c>
      <x:c r="D13" s="10" t="n">
        <x:v>70000</x:v>
      </x:c>
      <x:c r="E13" s="7" t="n">
        <x:f>C13*D13</x:f>
        <x:v>49000</x:v>
      </x:c>
      <x:c r="F13" s="7"/>
      <x:c r="G13" s="7"/>
      <x:c r="H13" s="7"/>
      <x:c r="I13" s="7"/>
      <x:c r="J13" s="7"/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23" customHeight="1">
      <x:c r="A14" s="1" t="n">
        <x:v>8</x:v>
      </x:c>
      <x:c r="B14" s="7" t="str">
        <x:v>Аниматор / ведущий</x:v>
      </x:c>
      <x:c r="C14" s="15" t="n">
        <x:v>1</x:v>
      </x:c>
      <x:c r="D14" s="10" t="n">
        <x:v>50000</x:v>
      </x:c>
      <x:c r="E14" s="7" t="n">
        <x:f>C14*D14</x:f>
        <x:v>50000</x:v>
      </x:c>
      <x:c r="F14" s="7"/>
      <x:c r="G14" s="7"/>
      <x:c r="H14" s="7"/>
      <x:c r="I14" s="7"/>
      <x:c r="J14" s="7"/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 t="n">
        <x:v>9</x:v>
      </x:c>
      <x:c r="B15" s="7" t="str">
        <x:v>Маркетолог, частичная занятость</x:v>
      </x:c>
      <x:c r="C15" s="15" t="n">
        <x:v>0.3</x:v>
      </x:c>
      <x:c r="D15" s="10" t="n">
        <x:v>60000</x:v>
      </x:c>
      <x:c r="E15" s="7" t="n">
        <x:f>C15*D15</x:f>
        <x:v>18000</x:v>
      </x:c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/>
      <x:c r="B16" s="7" t="str">
        <x:v>ИТОГО ставок / ФОТ</x:v>
      </x:c>
      <x:c r="C16" s="16" t="n">
        <x:f>SUM(C7:C15)</x:f>
        <x:v>18.659999999999997</x:v>
      </x:c>
      <x:c r="D16" s="7"/>
      <x:c r="E16" s="7" t="n">
        <x:f>SUM(E7:E15)</x:f>
        <x:v>909800</x:v>
      </x:c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/>
      <x:c r="B17" s="7" t="str">
        <x:v>С резервом взносов</x:v>
      </x:c>
      <x:c r="C17" s="7"/>
      <x:c r="D17" s="7"/>
      <x:c r="E17" s="9" t="n">
        <x:f>E16*(1+'Допущения'!B15)</x:f>
        <x:v>1184559.6</x:v>
      </x:c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/>
      <x:c r="B18" s="7"/>
      <x:c r="C18" s="7"/>
      <x:c r="D18" s="7"/>
      <x:c r="E18" s="7"/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/>
      <x:c r="B19" s="7"/>
      <x:c r="C19" s="7"/>
      <x:c r="D19" s="7"/>
      <x:c r="E19" s="7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/>
      <x:c r="B20" s="7"/>
      <x:c r="C20" s="7"/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/>
      <x:c r="B21" s="7"/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/>
      <x:c r="B22" s="7"/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 t="str">
        <x:v>План покрытия</x:v>
      </x:c>
      <x:c r="B24" s="7"/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 t="str">
        <x:v>FTE — оплачиваемая доля полной ставки, не число людей в одной смене.</x:v>
      </x:c>
      <x:c r="B25" s="1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 t="str">
        <x:v>Смены 10:00–21:00 плюс открытие/закрытие. В штатном расписании нужны совместители и подмена.</x:v>
      </x:c>
      <x:c r="B26" s="1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 t="str">
        <x:v>Ночной ремонт, отпуск, больничный и перерывы не перекладываются на дежурного у детей.</x:v>
      </x:c>
      <x:c r="B27" s="1"/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 t="str">
        <x:v>Для 100 м²: кассир совмещает кафе доготовки, ведущий праздника приглашается дополнительно.</x:v>
      </x:c>
      <x:c r="B28" s="1"/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/>
      <x:c r="B29" s="1"/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/>
      <x:c r="B30" s="1"/>
      <x:c r="C30" s="7"/>
      <x:c r="D30" s="7"/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/>
      <x:c r="B31" s="1"/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/>
      <x:c r="B32" s="1"/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/>
      <x:c r="B35" s="1"/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/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/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/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/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/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4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RR-FEC-500 | Электрика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№</x:v>
      </x:c>
      <x:c r="B6" s="25" t="str">
        <x:v>Группа</x:v>
      </x:c>
      <x:c r="C6" s="24" t="str">
        <x:v>Установлено кВт</x:v>
      </x:c>
      <x:c r="D6" s="24" t="str">
        <x:v>Коэф. спроса</x:v>
      </x:c>
      <x:c r="E6" s="24" t="str">
        <x:v>Расчет кВт</x:v>
      </x:c>
      <x:c r="F6" s="24" t="str">
        <x:v>Статус</x:v>
      </x:c>
      <x:c r="G6" s="24"/>
      <x:c r="H6" s="24"/>
      <x:c r="I6" s="24"/>
      <x:c r="J6" s="24"/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23" customHeight="1">
      <x:c r="A7" s="1" t="n">
        <x:v>1</x:v>
      </x:c>
      <x:c r="B7" s="7" t="str">
        <x:v>Оборудование RR</x:v>
      </x:c>
      <x:c r="C7" s="17" t="n">
        <x:f>'Оборудование'!G21</x:f>
        <x:v>7.887999999999999</x:v>
      </x:c>
      <x:c r="D7" s="16" t="n">
        <x:v>0.85</x:v>
      </x:c>
      <x:c r="E7" s="16" t="n">
        <x:f>C7*D7</x:f>
        <x:v>6.704799999999999</x:v>
      </x:c>
      <x:c r="F7" s="7" t="str">
        <x:v>Часть значений — проектные резервы</x:v>
      </x:c>
      <x:c r="G7" s="7"/>
      <x:c r="H7" s="7"/>
      <x:c r="I7" s="7"/>
      <x:c r="J7" s="7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23" customHeight="1">
      <x:c r="A8" s="1" t="n">
        <x:v>2</x:v>
      </x:c>
      <x:c r="B8" s="7" t="str">
        <x:v>Освещение, 8 Вт/м²</x:v>
      </x:c>
      <x:c r="C8" s="16" t="n">
        <x:v>4</x:v>
      </x:c>
      <x:c r="D8" s="16" t="n">
        <x:v>0.95</x:v>
      </x:c>
      <x:c r="E8" s="16" t="n">
        <x:f>C8*D8</x:f>
        <x:v>3.8</x:v>
      </x:c>
      <x:c r="F8" s="7" t="str">
        <x:v>Расчетный резерв, не ТУ помещения</x:v>
      </x:c>
      <x:c r="G8" s="7"/>
      <x:c r="H8" s="7"/>
      <x:c r="I8" s="7"/>
      <x:c r="J8" s="7"/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23" customHeight="1">
      <x:c r="A9" s="1" t="n">
        <x:v>3</x:v>
      </x:c>
      <x:c r="B9" s="7" t="str">
        <x:v>Вентиляция и охлаждение: резерв 25 Вт/м²</x:v>
      </x:c>
      <x:c r="C9" s="16" t="n">
        <x:v>12.5</x:v>
      </x:c>
      <x:c r="D9" s="16" t="n">
        <x:v>0.8</x:v>
      </x:c>
      <x:c r="E9" s="16" t="n">
        <x:f>C9*D9</x:f>
        <x:v>10</x:v>
      </x:c>
      <x:c r="F9" s="7" t="str">
        <x:v>Расчетный резерв, не ТУ помещения</x:v>
      </x:c>
      <x:c r="G9" s="7"/>
      <x:c r="H9" s="7"/>
      <x:c r="I9" s="7"/>
      <x:c r="J9" s="7"/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23" customHeight="1">
      <x:c r="A10" s="1" t="n">
        <x:v>4</x:v>
      </x:c>
      <x:c r="B10" s="7" t="str">
        <x:v>Кухня: резерв</x:v>
      </x:c>
      <x:c r="C10" s="16" t="n">
        <x:v>25</x:v>
      </x:c>
      <x:c r="D10" s="16" t="n">
        <x:v>0.65</x:v>
      </x:c>
      <x:c r="E10" s="16" t="n">
        <x:f>C10*D10</x:f>
        <x:v>16.25</x:v>
      </x:c>
      <x:c r="F10" s="7" t="str">
        <x:v>Расчетный резерв, не ТУ помещения</x:v>
      </x:c>
      <x:c r="G10" s="7"/>
      <x:c r="H10" s="7"/>
      <x:c r="I10" s="7"/>
      <x:c r="J10" s="7"/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23" customHeight="1">
      <x:c r="A11" s="1" t="n">
        <x:v>5</x:v>
      </x:c>
      <x:c r="B11" s="7" t="str">
        <x:v>Рабочие розетки родителей</x:v>
      </x:c>
      <x:c r="C11" s="16" t="n">
        <x:v>2.4000000000000004</x:v>
      </x:c>
      <x:c r="D11" s="16" t="n">
        <x:v>0.5</x:v>
      </x:c>
      <x:c r="E11" s="16" t="n">
        <x:f>C11*D11</x:f>
        <x:v>1.2000000000000002</x:v>
      </x:c>
      <x:c r="F11" s="7" t="str">
        <x:v>Расчетный резерв, не ТУ помещения</x:v>
      </x:c>
      <x:c r="G11" s="7"/>
      <x:c r="H11" s="7"/>
      <x:c r="I11" s="7"/>
      <x:c r="J11" s="7"/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23" customHeight="1">
      <x:c r="A12" s="1" t="n">
        <x:v>6</x:v>
      </x:c>
      <x:c r="B12" s="7" t="str">
        <x:v>Касса, сеть, хозяйственные розетки</x:v>
      </x:c>
      <x:c r="C12" s="16" t="n">
        <x:v>5</x:v>
      </x:c>
      <x:c r="D12" s="16" t="n">
        <x:v>0.6</x:v>
      </x:c>
      <x:c r="E12" s="16" t="n">
        <x:f>C12*D12</x:f>
        <x:v>3</x:v>
      </x:c>
      <x:c r="F12" s="7" t="str">
        <x:v>Расчетный резерв, не ТУ помещения</x:v>
      </x:c>
      <x:c r="G12" s="7"/>
      <x:c r="H12" s="7"/>
      <x:c r="I12" s="7"/>
      <x:c r="J12" s="7"/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23" customHeight="1">
      <x:c r="A13" s="1" t="n">
        <x:v>7</x:v>
      </x:c>
      <x:c r="B13" s="7" t="str">
        <x:v>Сцена и звук, резерв</x:v>
      </x:c>
      <x:c r="C13" s="16" t="n">
        <x:v>3</x:v>
      </x:c>
      <x:c r="D13" s="16" t="n">
        <x:v>0.5</x:v>
      </x:c>
      <x:c r="E13" s="16" t="n">
        <x:f>C13*D13</x:f>
        <x:v>1.5</x:v>
      </x:c>
      <x:c r="F13" s="7" t="str">
        <x:v>Расчетный резерв, не ТУ помещения</x:v>
      </x:c>
      <x:c r="G13" s="7"/>
      <x:c r="H13" s="7"/>
      <x:c r="I13" s="7"/>
      <x:c r="J13" s="7"/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23" customHeight="1">
      <x:c r="A14" s="1"/>
      <x:c r="B14" s="7"/>
      <x:c r="C14" s="16"/>
      <x:c r="D14" s="16"/>
      <x:c r="E14" s="16"/>
      <x:c r="F14" s="7"/>
      <x:c r="G14" s="7"/>
      <x:c r="H14" s="7"/>
      <x:c r="I14" s="7"/>
      <x:c r="J14" s="7"/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/>
      <x:c r="B15" s="7" t="str">
        <x:v>Суммарная установленная</x:v>
      </x:c>
      <x:c r="C15" s="16" t="n">
        <x:f>SUM(C7:C13)</x:f>
        <x:v>59.788</x:v>
      </x:c>
      <x:c r="D15" s="16"/>
      <x:c r="E15" s="16"/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/>
      <x:c r="B16" s="7" t="str">
        <x:v>Расчетная рабочая</x:v>
      </x:c>
      <x:c r="C16" s="16"/>
      <x:c r="D16" s="16"/>
      <x:c r="E16" s="16" t="n">
        <x:f>SUM(E7:E13)</x:f>
        <x:v>42.454800000000006</x:v>
      </x:c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/>
      <x:c r="B17" s="7" t="str">
        <x:v>Резерв на развитие</x:v>
      </x:c>
      <x:c r="C17" s="31" t="n">
        <x:v>0.25</x:v>
      </x:c>
      <x:c r="D17" s="16"/>
      <x:c r="E17" s="16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/>
      <x:c r="B18" s="7" t="str">
        <x:v>Запрос мощности, ориентир</x:v>
      </x:c>
      <x:c r="C18" s="16"/>
      <x:c r="D18" s="16"/>
      <x:c r="E18" s="16" t="n">
        <x:f>E16*(1+C17)</x:f>
        <x:v>53.06850000000001</x:v>
      </x:c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/>
      <x:c r="B19" s="7" t="str">
        <x:v>Ток 3 фазы, 400 В, cosφ 0,95</x:v>
      </x:c>
      <x:c r="C19" s="16"/>
      <x:c r="D19" s="16"/>
      <x:c r="E19" s="16" t="n">
        <x:f>E18*1000/(1.732*400*0.95)</x:f>
        <x:v>80.6316093351161</x:v>
      </x:c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/>
      <x:c r="B20" s="7" t="str">
        <x:v>Эквивалент работы, ч/день</x:v>
      </x:c>
      <x:c r="C20" s="16" t="n">
        <x:v>8</x:v>
      </x:c>
      <x:c r="D20" s="16"/>
      <x:c r="E20" s="16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/>
      <x:c r="B21" s="7" t="str">
        <x:v>Электроэнергия, кВт·ч/мес</x:v>
      </x:c>
      <x:c r="C21" s="16"/>
      <x:c r="D21" s="16"/>
      <x:c r="E21" s="17" t="n">
        <x:f>E16*C20*'Допущения'!B18</x:f>
        <x:v>10189.152000000002</x:v>
      </x:c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/>
      <x:c r="B22" s="7" t="str">
        <x:v>Электроэнергия, ₽/мес</x:v>
      </x:c>
      <x:c r="C22" s="16"/>
      <x:c r="D22" s="16"/>
      <x:c r="E22" s="17" t="n">
        <x:f>E21*'Допущения'!B24</x:f>
        <x:v>91702.36800000002</x:v>
      </x:c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/>
      <x:c r="B24" s="7"/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 t="str">
        <x:v>Не использовать для монтажа</x:v>
      </x:c>
      <x:c r="B25" s="1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 t="str">
        <x:v>Сечения, автоматы, УЗО, селективность и падение напряжения определяются после обмеров и паспортов.</x:v>
      </x:c>
      <x:c r="B26" s="1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 t="str">
        <x:v>Energy Jump: противоречие напряжения. Триколор: 60/600 Вт. Не подключать по этой таблице.</x:v>
      </x:c>
      <x:c r="B27" s="1"/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 t="str">
        <x:v>Отопление, существующие общие инженерные системы и категория надежности требуют ТУ арендодателя.</x:v>
      </x:c>
      <x:c r="B28" s="1"/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/>
      <x:c r="B29" s="1"/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/>
      <x:c r="B30" s="1"/>
      <x:c r="C30" s="7"/>
      <x:c r="D30" s="7"/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/>
      <x:c r="B31" s="1"/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/>
      <x:c r="B32" s="1"/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/>
      <x:c r="B35" s="1"/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/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/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/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/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/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48" hidden="0" customWidth="1"/>
    <x:col min="3" max="3" width="18" hidden="0" customWidth="1"/>
    <x:col min="4" max="4" width="50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RR-FEC-500 | Инвестиции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№</x:v>
      </x:c>
      <x:c r="B6" s="25" t="str">
        <x:v>Статья</x:v>
      </x:c>
      <x:c r="C6" s="24" t="str">
        <x:v>Сумма, ₽</x:v>
      </x:c>
      <x:c r="D6" s="24" t="str">
        <x:v>Основание</x:v>
      </x:c>
      <x:c r="E6" s="24"/>
      <x:c r="F6" s="24"/>
      <x:c r="G6" s="24"/>
      <x:c r="H6" s="24"/>
      <x:c r="I6" s="24"/>
      <x:c r="J6" s="24"/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38" customHeight="1">
      <x:c r="A7" s="1" t="n">
        <x:v>1</x:v>
      </x:c>
      <x:c r="B7" s="28" t="str">
        <x:v>Оборудование RR</x:v>
      </x:c>
      <x:c r="C7" s="29" t="n">
        <x:f>'Оборудование'!E21</x:f>
        <x:v>5799200</x:v>
      </x:c>
      <x:c r="D7" s="28" t="str">
        <x:v>Каталог 24.10.2026</x:v>
      </x:c>
      <x:c r="E7" s="7"/>
      <x:c r="F7" s="7"/>
      <x:c r="G7" s="7"/>
      <x:c r="H7" s="7"/>
      <x:c r="I7" s="7"/>
      <x:c r="J7" s="7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38" customHeight="1">
      <x:c r="A8" s="1" t="n">
        <x:v>2</x:v>
      </x:c>
      <x:c r="B8" s="28" t="str">
        <x:v>Доставка и монтаж RR, резерв</x:v>
      </x:c>
      <x:c r="C8" s="28" t="n">
        <x:f>C7*0.08</x:f>
        <x:v>463936</x:v>
      </x:c>
      <x:c r="D8" s="28" t="str">
        <x:v>8% оборудования, требуется смета</x:v>
      </x:c>
      <x:c r="E8" s="7"/>
      <x:c r="F8" s="7"/>
      <x:c r="G8" s="7"/>
      <x:c r="H8" s="7"/>
      <x:c r="I8" s="7"/>
      <x:c r="J8" s="7"/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38" customHeight="1">
      <x:c r="A9" s="1" t="n">
        <x:v>3</x:v>
      </x:c>
      <x:c r="B9" s="28" t="str">
        <x:v>Отделка и общестрой без инженерии</x:v>
      </x:c>
      <x:c r="C9" s="28" t="n">
        <x:v>8500000</x:v>
      </x:c>
      <x:c r="D9" s="28" t="str">
        <x:v>17000 ₽/м² — гипотеза</x:v>
      </x:c>
      <x:c r="E9" s="7"/>
      <x:c r="F9" s="7"/>
      <x:c r="G9" s="7"/>
      <x:c r="H9" s="7"/>
      <x:c r="I9" s="7"/>
      <x:c r="J9" s="7"/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38" customHeight="1">
      <x:c r="A10" s="1" t="n">
        <x:v>4</x:v>
      </x:c>
      <x:c r="B10" s="28" t="str">
        <x:v>Кафе, кухня, мебель и посадка</x:v>
      </x:c>
      <x:c r="C10" s="28" t="n">
        <x:v>1500000</x:v>
      </x:c>
      <x:c r="D10" s="28" t="str">
        <x:v>Внешние поставщики, бюджетный резерв</x:v>
      </x:c>
      <x:c r="E10" s="7"/>
      <x:c r="F10" s="7"/>
      <x:c r="G10" s="7"/>
      <x:c r="H10" s="7"/>
      <x:c r="I10" s="7"/>
      <x:c r="J10" s="7"/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38" customHeight="1">
      <x:c r="A11" s="1" t="n">
        <x:v>5</x:v>
      </x:c>
      <x:c r="B11" s="28" t="str">
        <x:v>Сцена, звук, банкетные комнаты и декор</x:v>
      </x:c>
      <x:c r="C11" s="28" t="n">
        <x:v>350000</x:v>
      </x:c>
      <x:c r="D11" s="28" t="str">
        <x:v>Внешние поставщики, бюджетный резерв</x:v>
      </x:c>
      <x:c r="E11" s="7"/>
      <x:c r="F11" s="7"/>
      <x:c r="G11" s="7"/>
      <x:c r="H11" s="7"/>
      <x:c r="I11" s="7"/>
      <x:c r="J11" s="7"/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38" customHeight="1">
      <x:c r="A12" s="1" t="n">
        <x:v>6</x:v>
      </x:c>
      <x:c r="B12" s="28" t="str">
        <x:v>Касса, учет доступа, СКУД, CCTV, сеть</x:v>
      </x:c>
      <x:c r="C12" s="28" t="n">
        <x:v>600000</x:v>
      </x:c>
      <x:c r="D12" s="28" t="str">
        <x:v>Внешние поставщики, бюджетный резерв</x:v>
      </x:c>
      <x:c r="E12" s="7"/>
      <x:c r="F12" s="7"/>
      <x:c r="G12" s="7"/>
      <x:c r="H12" s="7"/>
      <x:c r="I12" s="7"/>
      <x:c r="J12" s="7"/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38" customHeight="1">
      <x:c r="A13" s="1" t="n">
        <x:v>7</x:v>
      </x:c>
      <x:c r="B13" s="28" t="str">
        <x:v>Электрика, вентиляция, пожарные системы: резерв</x:v>
      </x:c>
      <x:c r="C13" s="28" t="n">
        <x:v>3000000</x:v>
      </x:c>
      <x:c r="D13" s="28" t="str">
        <x:v>Внешние поставщики, бюджетный резерв</x:v>
      </x:c>
      <x:c r="E13" s="7"/>
      <x:c r="F13" s="7"/>
      <x:c r="G13" s="7"/>
      <x:c r="H13" s="7"/>
      <x:c r="I13" s="7"/>
      <x:c r="J13" s="7"/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38" customHeight="1">
      <x:c r="A14" s="1" t="n">
        <x:v>8</x:v>
      </x:c>
      <x:c r="B14" s="28" t="str">
        <x:v>Обследование, адаптация проекта, согласования: резерв</x:v>
      </x:c>
      <x:c r="C14" s="28" t="n">
        <x:v>500000</x:v>
      </x:c>
      <x:c r="D14" s="28" t="str">
        <x:v>Внешние поставщики, бюджетный резерв</x:v>
      </x:c>
      <x:c r="E14" s="7"/>
      <x:c r="F14" s="7"/>
      <x:c r="G14" s="7"/>
      <x:c r="H14" s="7"/>
      <x:c r="I14" s="7"/>
      <x:c r="J14" s="7"/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/>
      <x:c r="B15" s="7" t="str">
        <x:v>Основные вложения</x:v>
      </x:c>
      <x:c r="C15" s="7" t="n">
        <x:f>SUM(C7:C14)</x:f>
        <x:v>20713136</x:v>
      </x:c>
      <x:c r="D15" s="7"/>
      <x:c r="E15" s="7"/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/>
      <x:c r="B16" s="7" t="str">
        <x:v>Непредвиденные, 10%</x:v>
      </x:c>
      <x:c r="C16" s="7" t="n">
        <x:f>C15*0.10</x:f>
        <x:v>2071313.6</x:v>
      </x:c>
      <x:c r="D16" s="7"/>
      <x:c r="E16" s="7"/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/>
      <x:c r="B17" s="7" t="str">
        <x:v>Депозит аренды: два месяца</x:v>
      </x:c>
      <x:c r="C17" s="7" t="n">
        <x:v>600000</x:v>
      </x:c>
      <x:c r="D17" s="7"/>
      <x:c r="E17" s="7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/>
      <x:c r="B18" s="7" t="str">
        <x:v>Реклама запуска</x:v>
      </x:c>
      <x:c r="C18" s="7" t="n">
        <x:v>400000</x:v>
      </x:c>
      <x:c r="D18" s="7"/>
      <x:c r="E18" s="7"/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/>
      <x:c r="B19" s="7" t="str">
        <x:v>Оборотный резерв: 3 месяца fixed</x:v>
      </x:c>
      <x:c r="C19" s="7" t="n">
        <x:f>C35*3</x:f>
        <x:v>5342028.904</x:v>
      </x:c>
      <x:c r="D19" s="7"/>
      <x:c r="E19" s="7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/>
      <x:c r="B20" s="7" t="str">
        <x:v>ВСЕГО стартовый бюджет</x:v>
      </x:c>
      <x:c r="C20" s="7" t="n">
        <x:f>SUM(C15:C19)</x:f>
        <x:v>29126478.504</x:v>
      </x:c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/>
      <x:c r="B21" s="7"/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/>
      <x:c r="B22" s="7"/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 t="str">
        <x:v>№</x:v>
      </x:c>
      <x:c r="B24" s="7" t="str">
        <x:v>Постоянные расходы / месяц</x:v>
      </x:c>
      <x:c r="C24" s="7" t="str">
        <x:v>Сумма, ₽</x:v>
      </x:c>
      <x:c r="D24" s="7" t="str">
        <x:v>Основание</x:v>
      </x:c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/>
      <x:c r="B25" s="1" t="str">
        <x:v>ФОТ с резервом взносов</x:v>
      </x:c>
      <x:c r="C25" s="9" t="n">
        <x:f>'Персонал'!E17</x:f>
        <x:v>1184559.6</x:v>
      </x:c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 t="n">
        <x:v>2</x:v>
      </x:c>
      <x:c r="B26" s="1" t="str">
        <x:v>Аренда</x:v>
      </x:c>
      <x:c r="C26" s="7" t="n">
        <x:v>300000</x:v>
      </x:c>
      <x:c r="D26" s="7" t="str">
        <x:v>Бюджетное допущение</x:v>
      </x:c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 t="n">
        <x:v>3</x:v>
      </x:c>
      <x:c r="B27" s="1" t="str">
        <x:v>Коммунальные: электричество (9 ₽/кВт·ч)</x:v>
      </x:c>
      <x:c r="C27" s="9" t="n">
        <x:f>'Электрика'!E22</x:f>
        <x:v>91702.36800000002</x:v>
      </x:c>
      <x:c r="D27" s="7" t="str">
        <x:v>Бюджетное допущение</x:v>
      </x:c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 t="n">
        <x:v>4</x:v>
      </x:c>
      <x:c r="B28" s="1" t="str">
        <x:v>Вода, отопление и общие услуги</x:v>
      </x:c>
      <x:c r="C28" s="7" t="n">
        <x:v>30000</x:v>
      </x:c>
      <x:c r="D28" s="7" t="str">
        <x:v>Бюджетное допущение</x:v>
      </x:c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 t="n">
        <x:v>5</x:v>
      </x:c>
      <x:c r="B29" s="1" t="str">
        <x:v>Текущая реклама, включая события</x:v>
      </x:c>
      <x:c r="C29" s="7" t="n">
        <x:v>100000</x:v>
      </x:c>
      <x:c r="D29" s="7" t="str">
        <x:v>Бюджетное допущение</x:v>
      </x:c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 t="n">
        <x:v>6</x:v>
      </x:c>
      <x:c r="B30" s="1" t="str">
        <x:v>Расходы связи, кассы, ПО, бухгалтерии</x:v>
      </x:c>
      <x:c r="C30" s="7" t="n">
        <x:v>40000</x:v>
      </x:c>
      <x:c r="D30" s="7" t="str">
        <x:v>Бюджетное допущение</x:v>
      </x:c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 t="n">
        <x:v>7</x:v>
      </x:c>
      <x:c r="B31" s="1" t="str">
        <x:v>Плановый сервис и расходники</x:v>
      </x:c>
      <x:c r="C31" s="7" t="n">
        <x:f>C7*0.035/12</x:f>
        <x:v>16914.333333333336</x:v>
      </x:c>
      <x:c r="D31" s="7" t="str">
        <x:v>Бюджетное допущение</x:v>
      </x:c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 t="n">
        <x:v>8</x:v>
      </x:c>
      <x:c r="B32" s="1" t="str">
        <x:v>Страхование и охрана: резерв</x:v>
      </x:c>
      <x:c r="C32" s="7" t="n">
        <x:v>17500</x:v>
      </x:c>
      <x:c r="D32" s="7" t="str">
        <x:v>Бюджетное допущение</x:v>
      </x:c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/>
      <x:c r="B35" s="1" t="str">
        <x:v>ИТОГО постоянных</x:v>
      </x:c>
      <x:c r="C35" s="7" t="n">
        <x:f>SUM(C25:C32)</x:f>
        <x:v>1780676.3013333334</x:v>
      </x:c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/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/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 t="str">
        <x:v>Внешнее оснащение</x:v>
      </x:c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 t="str">
        <x:v>Порекомендуем надежных поставщиков подобного оборудования клиентам, которые открывают центр вместе с нами.</x:v>
      </x:c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 t="str">
        <x:v>В стартовом бюджете есть оборотный резерв и возвратный депозит: они не являются продажей оборудования RR.</x:v>
      </x:c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 t="str">
        <x:v>Кредит, покупка недвижимости и централизованное отопление сверх резерва не включены.</x:v>
      </x:c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44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RR-FEC-500 | Зоны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№</x:v>
      </x:c>
      <x:c r="B6" s="25" t="str">
        <x:v>Зона</x:v>
      </x:c>
      <x:c r="C6" s="24" t="str">
        <x:v>Объем</x:v>
      </x:c>
      <x:c r="D6" s="24" t="str">
        <x:v>Цена</x:v>
      </x:c>
      <x:c r="E6" s="24" t="str">
        <x:v>Платежи ₽</x:v>
      </x:c>
      <x:c r="F6" s="24" t="str">
        <x:v>Без НДС ₽</x:v>
      </x:c>
      <x:c r="G6" s="24" t="str">
        <x:v>Прямые ₽</x:v>
      </x:c>
      <x:c r="H6" s="24" t="str">
        <x:v>Эквайринг ₽</x:v>
      </x:c>
      <x:c r="I6" s="24" t="str">
        <x:v>Маржа ₽</x:v>
      </x:c>
      <x:c r="J6" s="24" t="str">
        <x:v>Общие fixed ₽</x:v>
      </x:c>
      <x:c r="K6" s="24" t="str">
        <x:v>Налог ₽</x:v>
      </x:c>
      <x:c r="L6" s="24" t="str">
        <x:v>Обновление ₽</x:v>
      </x:c>
      <x:c r="M6" s="24" t="str">
        <x:v>Поток ₽</x:v>
      </x:c>
      <x:c r="N6" s="24" t="str">
        <x:v>Доля выручки</x:v>
      </x:c>
      <x:c r="O6" s="24" t="str">
        <x:v>Вложения ₽</x:v>
      </x:c>
      <x:c r="P6" s="24" t="str">
        <x:v>Простая окуп. мес</x:v>
      </x:c>
      <x:c r="Q6" s="24"/>
      <x:c r="R6" s="1"/>
      <x:c r="S6" s="1"/>
      <x:c r="T6" s="1"/>
      <x:c r="U6" s="1"/>
      <x:c r="V6" s="1"/>
      <x:c r="W6" s="1"/>
    </x:row>
    <x:row r="7" ht="23" customHeight="1">
      <x:c r="A7" s="1" t="n">
        <x:v>1</x:v>
      </x:c>
      <x:c r="B7" s="9" t="str">
        <x:f>'Допущения'!B31</x:f>
        <x:v>Входные билеты и свободная игра</x:v>
      </x:c>
      <x:c r="C7" s="9" t="n">
        <x:f>'Допущения'!C31*'Допущения'!$B$8</x:f>
        <x:v>4152.400000000001</x:v>
      </x:c>
      <x:c r="D7" s="9" t="n">
        <x:f>'Допущения'!D31</x:f>
        <x:v>750</x:v>
      </x:c>
      <x:c r="E7" s="7" t="n">
        <x:f>C7*D7</x:f>
        <x:v>3114300.0000000005</x:v>
      </x:c>
      <x:c r="F7" s="9" t="n">
        <x:f>E7/(1+'Допущения'!$B$9)</x:f>
        <x:v>2966000.0000000005</x:v>
      </x:c>
      <x:c r="G7" s="9" t="n">
        <x:f>F7*'Допущения'!E31+C7*'Допущения'!F31</x:f>
        <x:v>59320.00000000001</x:v>
      </x:c>
      <x:c r="H7" s="9" t="n">
        <x:f>E7*'Допущения'!$B$11</x:f>
        <x:v>62286.00000000001</x:v>
      </x:c>
      <x:c r="I7" s="7" t="n">
        <x:f>F7-G7-H7</x:f>
        <x:v>2844394.0000000005</x:v>
      </x:c>
      <x:c r="J7" s="9" t="n">
        <x:f>'Инвестиции'!$C$35*'Допущения'!G31/SUM('Допущения'!$G$31:$G$37)</x:f>
        <x:v>623236.7054666666</x:v>
      </x:c>
      <x:c r="K7" s="9" t="n">
        <x:f>F7*'Допущения'!$B$10</x:f>
        <x:v>177960.00000000003</x:v>
      </x:c>
      <x:c r="L7" s="9" t="n">
        <x:f>F7*'Допущения'!$B$12</x:f>
        <x:v>59320.00000000001</x:v>
      </x:c>
      <x:c r="M7" s="7" t="n">
        <x:f>I7-J7-K7-L7</x:f>
        <x:v>1983877.2945333337</x:v>
      </x:c>
      <x:c r="N7" s="20" t="n">
        <x:f>E7/SUM($E$7:$E$13)</x:f>
        <x:v>0.5409582689335395</x:v>
      </x:c>
      <x:c r="O7" s="9" t="n">
        <x:f>'Инвестиции'!$C$20*'Допущения'!G31/SUM('Допущения'!$G$31:$G$37)</x:f>
        <x:v>10194267.4764</x:v>
      </x:c>
      <x:c r="P7" s="21" t="n">
        <x:f>IF(M7&gt;0,O7/M7,"нет")</x:f>
        <x:v>5.138557462445272</x:v>
      </x:c>
      <x:c r="Q7" s="7"/>
      <x:c r="R7" s="7"/>
      <x:c r="S7" s="7"/>
      <x:c r="T7" s="7"/>
      <x:c r="U7" s="7"/>
      <x:c r="V7" s="7"/>
      <x:c r="W7" s="7"/>
    </x:row>
    <x:row r="8" ht="23" customHeight="1">
      <x:c r="A8" s="1" t="n">
        <x:v>2</x:v>
      </x:c>
      <x:c r="B8" s="9" t="str">
        <x:f>'Допущения'!B32</x:f>
        <x:v>Технологические аттракционы</x:v>
      </x:c>
      <x:c r="C8" s="9" t="n">
        <x:f>'Допущения'!C32*'Допущения'!$B$8</x:f>
        <x:v>1186.4</x:v>
      </x:c>
      <x:c r="D8" s="9" t="n">
        <x:f>'Допущения'!D32</x:f>
        <x:v>180</x:v>
      </x:c>
      <x:c r="E8" s="7" t="n">
        <x:f>C8*D8</x:f>
        <x:v>213552.00000000003</x:v>
      </x:c>
      <x:c r="F8" s="9" t="n">
        <x:f>E8/(1+'Допущения'!$B$9)</x:f>
        <x:v>203382.85714285716</x:v>
      </x:c>
      <x:c r="G8" s="9" t="n">
        <x:f>F8*'Допущения'!E32+C8*'Допущения'!F32</x:f>
        <x:v>10169.142857142859</x:v>
      </x:c>
      <x:c r="H8" s="9" t="n">
        <x:f>E8*'Допущения'!$B$11</x:f>
        <x:v>4271.040000000001</x:v>
      </x:c>
      <x:c r="I8" s="7" t="n">
        <x:f>F8-G8-H8</x:f>
        <x:v>188942.67428571428</x:v>
      </x:c>
      <x:c r="J8" s="9" t="n">
        <x:f>'Инвестиции'!$C$35*'Допущения'!G32/SUM('Допущения'!$G$31:$G$37)</x:f>
        <x:v>267101.4452</x:v>
      </x:c>
      <x:c r="K8" s="9" t="n">
        <x:f>F8*'Допущения'!$B$10</x:f>
        <x:v>12202.971428571429</x:v>
      </x:c>
      <x:c r="L8" s="9" t="n">
        <x:f>F8*'Допущения'!$B$12</x:f>
        <x:v>4067.6571428571433</x:v>
      </x:c>
      <x:c r="M8" s="7" t="n">
        <x:f>I8-J8-K8-L8</x:f>
        <x:v>-94429.39948571431</x:v>
      </x:c>
      <x:c r="N8" s="20" t="n">
        <x:f>E8/SUM($E$7:$E$13)</x:f>
        <x:v>0.03709428129829985</x:v>
      </x:c>
      <x:c r="O8" s="9" t="n">
        <x:f>'Инвестиции'!$C$20*'Допущения'!G32/SUM('Допущения'!$G$31:$G$37)</x:f>
        <x:v>4368971.7756</x:v>
      </x:c>
      <x:c r="P8" s="21" t="str">
        <x:f>IF(M8&gt;0,O8/M8,"нет")</x:f>
        <x:v>нет</x:v>
      </x:c>
      <x:c r="Q8" s="7"/>
      <x:c r="R8" s="7"/>
      <x:c r="S8" s="7"/>
      <x:c r="T8" s="7"/>
      <x:c r="U8" s="7"/>
      <x:c r="V8" s="7"/>
      <x:c r="W8" s="7"/>
    </x:row>
    <x:row r="9" ht="23" customHeight="1">
      <x:c r="A9" s="1" t="n">
        <x:v>3</x:v>
      </x:c>
      <x:c r="B9" s="9" t="str">
        <x:f>'Допущения'!B33</x:f>
        <x:v>Аркады и семейные игры</x:v>
      </x:c>
      <x:c r="C9" s="9" t="n">
        <x:f>'Допущения'!C33*'Допущения'!$B$8</x:f>
        <x:v>3559.2000000000003</x:v>
      </x:c>
      <x:c r="D9" s="9" t="n">
        <x:f>'Допущения'!D33</x:f>
        <x:v>140</x:v>
      </x:c>
      <x:c r="E9" s="7" t="n">
        <x:f>C9*D9</x:f>
        <x:v>498288.00000000006</x:v>
      </x:c>
      <x:c r="F9" s="9" t="n">
        <x:f>E9/(1+'Допущения'!$B$9)</x:f>
        <x:v>474560.00000000006</x:v>
      </x:c>
      <x:c r="G9" s="9" t="n">
        <x:f>F9*'Допущения'!E33+C9*'Допущения'!F33</x:f>
        <x:v>94912.00000000001</x:v>
      </x:c>
      <x:c r="H9" s="9" t="n">
        <x:f>E9*'Допущения'!$B$11</x:f>
        <x:v>9965.760000000002</x:v>
      </x:c>
      <x:c r="I9" s="7" t="n">
        <x:f>F9-G9-H9</x:f>
        <x:v>369682.24000000005</x:v>
      </x:c>
      <x:c r="J9" s="9" t="n">
        <x:f>'Инвестиции'!$C$35*'Допущения'!G33/SUM('Допущения'!$G$31:$G$37)</x:f>
        <x:v>213681.15615999998</x:v>
      </x:c>
      <x:c r="K9" s="9" t="n">
        <x:f>F9*'Допущения'!$B$10</x:f>
        <x:v>28473.600000000002</x:v>
      </x:c>
      <x:c r="L9" s="9" t="n">
        <x:f>F9*'Допущения'!$B$12</x:f>
        <x:v>9491.2</x:v>
      </x:c>
      <x:c r="M9" s="7" t="n">
        <x:f>I9-J9-K9-L9</x:f>
        <x:v>118036.28384000006</x:v>
      </x:c>
      <x:c r="N9" s="20" t="n">
        <x:f>E9/SUM($E$7:$E$13)</x:f>
        <x:v>0.08655332302936632</x:v>
      </x:c>
      <x:c r="O9" s="9" t="n">
        <x:f>'Инвестиции'!$C$20*'Допущения'!G33/SUM('Допущения'!$G$31:$G$37)</x:f>
        <x:v>3495177.42048</x:v>
      </x:c>
      <x:c r="P9" s="21" t="n">
        <x:f>IF(M9&gt;0,O9/M9,"нет")</x:f>
        <x:v>29.611042526701066</x:v>
      </x:c>
      <x:c r="Q9" s="7"/>
      <x:c r="R9" s="7"/>
      <x:c r="S9" s="7"/>
      <x:c r="T9" s="7"/>
      <x:c r="U9" s="7"/>
      <x:c r="V9" s="7"/>
      <x:c r="W9" s="7"/>
    </x:row>
    <x:row r="10" ht="23" customHeight="1">
      <x:c r="A10" s="1" t="n">
        <x:v>4</x:v>
      </x:c>
      <x:c r="B10" s="9" t="str">
        <x:f>'Допущения'!B34</x:f>
        <x:v>Банкетные комнаты и ведущий</x:v>
      </x:c>
      <x:c r="C10" s="9" t="n">
        <x:f>'Допущения'!C34*'Допущения'!$B$8</x:f>
        <x:v>41.524</x:v>
      </x:c>
      <x:c r="D10" s="9" t="n">
        <x:f>'Допущения'!D34</x:f>
        <x:v>16000</x:v>
      </x:c>
      <x:c r="E10" s="7" t="n">
        <x:f>C10*D10</x:f>
        <x:v>664384</x:v>
      </x:c>
      <x:c r="F10" s="9" t="n">
        <x:f>E10/(1+'Допущения'!$B$9)</x:f>
        <x:v>632746.6666666666</x:v>
      </x:c>
      <x:c r="G10" s="9" t="n">
        <x:f>F10*'Допущения'!E34+C10*'Допущения'!F34</x:f>
        <x:v>158186.66666666666</x:v>
      </x:c>
      <x:c r="H10" s="9" t="n">
        <x:f>E10*'Допущения'!$B$11</x:f>
        <x:v>13287.68</x:v>
      </x:c>
      <x:c r="I10" s="7" t="n">
        <x:f>F10-G10-H10</x:f>
        <x:v>461272.32</x:v>
      </x:c>
      <x:c r="J10" s="9" t="n">
        <x:f>'Инвестиции'!$C$35*'Допущения'!G34/SUM('Допущения'!$G$31:$G$37)</x:f>
        <x:v>213681.15615999998</x:v>
      </x:c>
      <x:c r="K10" s="9" t="n">
        <x:f>F10*'Допущения'!$B$10</x:f>
        <x:v>37964.799999999996</x:v>
      </x:c>
      <x:c r="L10" s="9" t="n">
        <x:f>F10*'Допущения'!$B$12</x:f>
        <x:v>12654.933333333332</x:v>
      </x:c>
      <x:c r="M10" s="7" t="n">
        <x:f>I10-J10-K10-L10</x:f>
        <x:v>196971.43050666671</x:v>
      </x:c>
      <x:c r="N10" s="20" t="n">
        <x:f>E10/SUM($E$7:$E$13)</x:f>
        <x:v>0.11540443070582174</x:v>
      </x:c>
      <x:c r="O10" s="9" t="n">
        <x:f>'Инвестиции'!$C$20*'Допущения'!G34/SUM('Допущения'!$G$31:$G$37)</x:f>
        <x:v>3495177.42048</x:v>
      </x:c>
      <x:c r="P10" s="21" t="n">
        <x:f>IF(M10&gt;0,O10/M10,"нет")</x:f>
        <x:v>17.74459073323175</x:v>
      </x:c>
      <x:c r="Q10" s="7"/>
      <x:c r="R10" s="7"/>
      <x:c r="S10" s="7"/>
      <x:c r="T10" s="7"/>
      <x:c r="U10" s="7"/>
      <x:c r="V10" s="7"/>
      <x:c r="W10" s="7"/>
    </x:row>
    <x:row r="11" ht="23" customHeight="1">
      <x:c r="A11" s="1" t="n">
        <x:v>5</x:v>
      </x:c>
      <x:c r="B11" s="9" t="str">
        <x:f>'Допущения'!B35</x:f>
        <x:v>Кафе и ожидание родителей</x:v>
      </x:c>
      <x:c r="C11" s="9" t="n">
        <x:f>'Допущения'!C35*'Допущения'!$B$8</x:f>
        <x:v>2224.5</x:v>
      </x:c>
      <x:c r="D11" s="9" t="n">
        <x:f>'Допущения'!D35</x:f>
        <x:v>500</x:v>
      </x:c>
      <x:c r="E11" s="7" t="n">
        <x:f>C11*D11</x:f>
        <x:v>1112250</x:v>
      </x:c>
      <x:c r="F11" s="9" t="n">
        <x:f>E11/(1+'Допущения'!$B$9)</x:f>
        <x:v>1059285.7142857143</x:v>
      </x:c>
      <x:c r="G11" s="9" t="n">
        <x:f>F11*'Допущения'!E35+C11*'Допущения'!F35</x:f>
        <x:v>370750</x:v>
      </x:c>
      <x:c r="H11" s="9" t="n">
        <x:f>E11*'Допущения'!$B$11</x:f>
        <x:v>22245</x:v>
      </x:c>
      <x:c r="I11" s="7" t="n">
        <x:f>F11-G11-H11</x:f>
        <x:v>666290.7142857143</x:v>
      </x:c>
      <x:c r="J11" s="9" t="n">
        <x:f>'Инвестиции'!$C$35*'Допущения'!G35/SUM('Допущения'!$G$31:$G$37)</x:f>
        <x:v>249294.6821866667</x:v>
      </x:c>
      <x:c r="K11" s="9" t="n">
        <x:f>F11*'Допущения'!$B$10</x:f>
        <x:v>63557.142857142855</x:v>
      </x:c>
      <x:c r="L11" s="9" t="n">
        <x:f>F11*'Допущения'!$B$12</x:f>
        <x:v>21185.714285714286</x:v>
      </x:c>
      <x:c r="M11" s="7" t="n">
        <x:f>I11-J11-K11-L11</x:f>
        <x:v>332253.1749561905</x:v>
      </x:c>
      <x:c r="N11" s="20" t="n">
        <x:f>E11/SUM($E$7:$E$13)</x:f>
        <x:v>0.19319938176197837</x:v>
      </x:c>
      <x:c r="O11" s="9" t="n">
        <x:f>'Инвестиции'!$C$20*'Допущения'!G35/SUM('Допущения'!$G$31:$G$37)</x:f>
        <x:v>4077706.9905600003</x:v>
      </x:c>
      <x:c r="P11" s="21" t="n">
        <x:f>IF(M11&gt;0,O11/M11,"нет")</x:f>
        <x:v>12.27289096965791</x:v>
      </x:c>
      <x:c r="Q11" s="7"/>
      <x:c r="R11" s="7"/>
      <x:c r="S11" s="7"/>
      <x:c r="T11" s="7"/>
      <x:c r="U11" s="7"/>
      <x:c r="V11" s="7"/>
      <x:c r="W11" s="7"/>
    </x:row>
    <x:row r="12" ht="23" customHeight="1">
      <x:c r="A12" s="1" t="n">
        <x:v>6</x:v>
      </x:c>
      <x:c r="B12" s="9" t="str">
        <x:f>'Допущения'!B36</x:f>
        <x:v>Платные мастер-классы</x:v>
      </x:c>
      <x:c r="C12" s="9" t="n">
        <x:f>'Допущения'!C36*'Допущения'!$B$8</x:f>
        <x:v>177.96</x:v>
      </x:c>
      <x:c r="D12" s="9" t="n">
        <x:f>'Допущения'!D36</x:f>
        <x:v>450</x:v>
      </x:c>
      <x:c r="E12" s="7" t="n">
        <x:f>C12*D12</x:f>
        <x:v>80082</x:v>
      </x:c>
      <x:c r="F12" s="9" t="n">
        <x:f>E12/(1+'Допущения'!$B$9)</x:f>
        <x:v>76268.57142857142</x:v>
      </x:c>
      <x:c r="G12" s="9" t="n">
        <x:f>F12*'Допущения'!E36+C12*'Допущения'!F36</x:f>
        <x:v>22880.571428571424</x:v>
      </x:c>
      <x:c r="H12" s="9" t="n">
        <x:f>E12*'Допущения'!$B$11</x:f>
        <x:v>1601.64</x:v>
      </x:c>
      <x:c r="I12" s="7" t="n">
        <x:f>F12-G12-H12</x:f>
        <x:v>51786.36</x:v>
      </x:c>
      <x:c r="J12" s="9" t="n">
        <x:f>'Инвестиции'!$C$35*'Допущения'!G36/SUM('Допущения'!$G$31:$G$37)</x:f>
        <x:v>142454.10410666667</x:v>
      </x:c>
      <x:c r="K12" s="9" t="n">
        <x:f>F12*'Допущения'!$B$10</x:f>
        <x:v>4576.114285714285</x:v>
      </x:c>
      <x:c r="L12" s="9" t="n">
        <x:f>F12*'Допущения'!$B$12</x:f>
        <x:v>1525.3714285714284</x:v>
      </x:c>
      <x:c r="M12" s="7" t="n">
        <x:f>I12-J12-K12-L12</x:f>
        <x:v>-96769.22982095237</x:v>
      </x:c>
      <x:c r="N12" s="20" t="n">
        <x:f>E12/SUM($E$7:$E$13)</x:f>
        <x:v>0.013910355486862442</x:v>
      </x:c>
      <x:c r="O12" s="9" t="n">
        <x:f>'Инвестиции'!$C$20*'Допущения'!G36/SUM('Допущения'!$G$31:$G$37)</x:f>
        <x:v>2330118.28032</x:v>
      </x:c>
      <x:c r="P12" s="21" t="str">
        <x:f>IF(M12&gt;0,O12/M12,"нет")</x:f>
        <x:v>нет</x:v>
      </x:c>
      <x:c r="Q12" s="7"/>
      <x:c r="R12" s="7"/>
      <x:c r="S12" s="7"/>
      <x:c r="T12" s="7"/>
      <x:c r="U12" s="7"/>
      <x:c r="V12" s="7"/>
      <x:c r="W12" s="7"/>
    </x:row>
    <x:row r="13" ht="23" customHeight="1">
      <x:c r="A13" s="1" t="n">
        <x:v>7</x:v>
      </x:c>
      <x:c r="B13" s="9" t="str">
        <x:f>'Допущения'!B37</x:f>
        <x:v>Нейрофото</x:v>
      </x:c>
      <x:c r="C13" s="9" t="n">
        <x:f>'Допущения'!C37*'Допущения'!$B$8</x:f>
        <x:v>370.75</x:v>
      </x:c>
      <x:c r="D13" s="9" t="n">
        <x:f>'Допущения'!D37</x:f>
        <x:v>200</x:v>
      </x:c>
      <x:c r="E13" s="7" t="n">
        <x:f>C13*D13</x:f>
        <x:v>74150</x:v>
      </x:c>
      <x:c r="F13" s="9" t="n">
        <x:f>E13/(1+'Допущения'!$B$9)</x:f>
        <x:v>70619.04761904762</x:v>
      </x:c>
      <x:c r="G13" s="9" t="n">
        <x:f>F13*'Допущения'!E37+C13*'Допущения'!F37</x:f>
        <x:v>18537.5</x:v>
      </x:c>
      <x:c r="H13" s="9" t="n">
        <x:f>E13*'Допущения'!$B$11</x:f>
        <x:v>1483</x:v>
      </x:c>
      <x:c r="I13" s="7" t="n">
        <x:f>F13-G13-H13</x:f>
        <x:v>50598.54761904762</x:v>
      </x:c>
      <x:c r="J13" s="9" t="n">
        <x:f>'Инвестиции'!$C$35*'Допущения'!G37/SUM('Допущения'!$G$31:$G$37)</x:f>
        <x:v>71227.05205333333</x:v>
      </x:c>
      <x:c r="K13" s="9" t="n">
        <x:f>F13*'Допущения'!$B$10</x:f>
        <x:v>4237.142857142857</x:v>
      </x:c>
      <x:c r="L13" s="9" t="n">
        <x:f>F13*'Допущения'!$B$12</x:f>
        <x:v>1412.3809523809523</x:v>
      </x:c>
      <x:c r="M13" s="7" t="n">
        <x:f>I13-J13-K13-L13</x:f>
        <x:v>-26278.028243809524</x:v>
      </x:c>
      <x:c r="N13" s="20" t="n">
        <x:f>E13/SUM($E$7:$E$13)</x:f>
        <x:v>0.01287995878413189</x:v>
      </x:c>
      <x:c r="O13" s="9" t="n">
        <x:f>'Инвестиции'!$C$20*'Допущения'!G37/SUM('Допущения'!$G$31:$G$37)</x:f>
        <x:v>1165059.14016</x:v>
      </x:c>
      <x:c r="P13" s="21" t="str">
        <x:f>IF(M13&gt;0,O13/M13,"нет")</x:f>
        <x:v>нет</x:v>
      </x:c>
      <x:c r="Q13" s="7"/>
      <x:c r="R13" s="7"/>
      <x:c r="S13" s="7"/>
      <x:c r="T13" s="7"/>
      <x:c r="U13" s="7"/>
      <x:c r="V13" s="7"/>
      <x:c r="W13" s="7"/>
    </x:row>
    <x:row r="14" ht="23" customHeight="1">
      <x:c r="A14" s="1"/>
      <x:c r="B14" s="7" t="str">
        <x:v>ИТОГО</x:v>
      </x:c>
      <x:c r="C14" s="7"/>
      <x:c r="D14" s="7"/>
      <x:c r="E14" s="7" t="n">
        <x:f>SUM(E7:E13)</x:f>
        <x:v>5757006</x:v>
      </x:c>
      <x:c r="F14" s="7" t="n">
        <x:f>SUM(F7:F13)</x:f>
        <x:v>5482862.857142858</x:v>
      </x:c>
      <x:c r="G14" s="7" t="n">
        <x:f>SUM(G7:G13)</x:f>
        <x:v>734755.8809523811</x:v>
      </x:c>
      <x:c r="H14" s="7" t="n">
        <x:f>SUM(H7:H13)</x:f>
        <x:v>115140.12000000001</x:v>
      </x:c>
      <x:c r="I14" s="7" t="n">
        <x:f>SUM(I7:I13)</x:f>
        <x:v>4632966.856190477</x:v>
      </x:c>
      <x:c r="J14" s="7" t="n">
        <x:f>SUM(J7:J13)</x:f>
        <x:v>1780676.3013333334</x:v>
      </x:c>
      <x:c r="K14" s="7" t="n">
        <x:f>SUM(K7:K13)</x:f>
        <x:v>328971.77142857143</x:v>
      </x:c>
      <x:c r="L14" s="7" t="n">
        <x:f>SUM(L7:L13)</x:f>
        <x:v>109657.25714285714</x:v>
      </x:c>
      <x:c r="M14" s="7" t="n">
        <x:f>SUM(M7:M13)</x:f>
        <x:v>2413661.526285715</x:v>
      </x:c>
      <x:c r="N14" s="20" t="n">
        <x:f>SUM(N7:N13)</x:f>
        <x:v>1.0000000000000002</x:v>
      </x:c>
      <x:c r="O14" s="7" t="n">
        <x:f>SUM(O7:O13)</x:f>
        <x:v>29126478.504</x:v>
      </x:c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/>
      <x:c r="B15" s="7"/>
      <x:c r="C15" s="7"/>
      <x:c r="D15" s="7"/>
      <x:c r="E15" s="7"/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/>
      <x:c r="B16" s="7"/>
      <x:c r="C16" s="7"/>
      <x:c r="D16" s="7"/>
      <x:c r="E16" s="7"/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/>
      <x:c r="B17" s="7"/>
      <x:c r="C17" s="7"/>
      <x:c r="D17" s="7"/>
      <x:c r="E17" s="7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 t="str">
        <x:v>Управленческое распределение</x:v>
      </x:c>
      <x:c r="B18" s="7"/>
      <x:c r="C18" s="7"/>
      <x:c r="D18" s="7"/>
      <x:c r="E18" s="7"/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 t="str">
        <x:v>Общие расходы и стартовый бюджет распределены по редактируемым весам, не по доказанной причинности.</x:v>
      </x:c>
      <x:c r="B19" s="7"/>
      <x:c r="C19" s="7"/>
      <x:c r="D19" s="7"/>
      <x:c r="E19" s="7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 t="str">
        <x:v>Окупаемость зоны — простой показатель стабильного месяца, без разгона. Окупаемость центра — по накопленному потоку.</x:v>
      </x:c>
      <x:c r="B20" s="7"/>
      <x:c r="C20" s="7"/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 t="str">
        <x:v>Модель не прибавляет выручку от шахмат: это бесплатное удобство кафе.</x:v>
      </x:c>
      <x:c r="B21" s="7"/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/>
      <x:c r="B22" s="7"/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/>
      <x:c r="B24" s="7"/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/>
      <x:c r="B25" s="1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/>
      <x:c r="B26" s="1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/>
      <x:c r="B27" s="1"/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/>
      <x:c r="B28" s="1"/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/>
      <x:c r="B29" s="1"/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/>
      <x:c r="B30" s="1"/>
      <x:c r="C30" s="7"/>
      <x:c r="D30" s="7"/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/>
      <x:c r="B31" s="1"/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/>
      <x:c r="B32" s="1"/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/>
      <x:c r="B35" s="1"/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/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/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/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/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/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19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RR-FEC-500 | Поток 48 мес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Мес</x:v>
      </x:c>
      <x:c r="B6" s="25" t="str">
        <x:v>Разгон × сезон</x:v>
      </x:c>
      <x:c r="C6" s="24" t="str">
        <x:v>Билеты</x:v>
      </x:c>
      <x:c r="D6" s="24" t="str">
        <x:v>Техно</x:v>
      </x:c>
      <x:c r="E6" s="24" t="str">
        <x:v>Аркады</x:v>
      </x:c>
      <x:c r="F6" s="24" t="str">
        <x:v>Праздники</x:v>
      </x:c>
      <x:c r="G6" s="24" t="str">
        <x:v>Кафе</x:v>
      </x:c>
      <x:c r="H6" s="24" t="str">
        <x:v>Мастер-классы</x:v>
      </x:c>
      <x:c r="I6" s="24" t="str">
        <x:v>Фото</x:v>
      </x:c>
      <x:c r="J6" s="24" t="str">
        <x:v>Платежи</x:v>
      </x:c>
      <x:c r="K6" s="24" t="str">
        <x:v>Без НДС</x:v>
      </x:c>
      <x:c r="L6" s="24" t="str">
        <x:v>Прямые</x:v>
      </x:c>
      <x:c r="M6" s="24" t="str">
        <x:v>Эквайринг</x:v>
      </x:c>
      <x:c r="N6" s="24" t="str">
        <x:v>Постоянные</x:v>
      </x:c>
      <x:c r="O6" s="24" t="str">
        <x:v>Налог</x:v>
      </x:c>
      <x:c r="P6" s="24" t="str">
        <x:v>Обновление</x:v>
      </x:c>
      <x:c r="Q6" s="24" t="str">
        <x:v>EBITDA</x:v>
      </x:c>
      <x:c r="R6" s="1" t="str">
        <x:v>Поток</x:v>
      </x:c>
      <x:c r="S6" s="1" t="str">
        <x:v>Накопленный</x:v>
      </x:c>
      <x:c r="T6" s="1" t="str">
        <x:v>Окуп. мес</x:v>
      </x:c>
      <x:c r="U6" s="1" t="str">
        <x:v>Дети/час сред.</x:v>
      </x:c>
      <x:c r="V6" s="1"/>
      <x:c r="W6" s="1"/>
    </x:row>
    <x:row r="7" ht="23" customHeight="1">
      <x:c r="A7" s="1" t="n">
        <x:v>1</x:v>
      </x:c>
      <x:c r="B7" s="17" t="n">
        <x:f>'Допущения'!C42*'Допущения'!D42</x:f>
        <x:v>0.5033898305084746</x:v>
      </x:c>
      <x:c r="C7" s="9" t="n">
        <x:f>'Допущения'!C31*'Допущения'!$B$8*'Допущения'!D31*$B7*(1+'Допущения'!$B$13)^0</x:f>
        <x:v>1567706.9491525427</x:v>
      </x:c>
      <x:c r="D7" s="9" t="n">
        <x:f>'Допущения'!C32*'Допущения'!$B$8*'Допущения'!D32*$B7*(1+'Допущения'!$B$13)^0</x:f>
        <x:v>107499.90508474578</x:v>
      </x:c>
      <x:c r="E7" s="9" t="n">
        <x:f>'Допущения'!C33*'Допущения'!$B$8*'Допущения'!D33*$B7*(1+'Допущения'!$B$13)^0</x:f>
        <x:v>250833.11186440685</x:v>
      </x:c>
      <x:c r="F7" s="9" t="n">
        <x:f>'Допущения'!C34*'Допущения'!$B$8*'Допущения'!D34*$B7*(1+'Допущения'!$B$13)^0</x:f>
        <x:v>334444.1491525424</x:v>
      </x:c>
      <x:c r="G7" s="9" t="n">
        <x:f>'Допущения'!C35*'Допущения'!$B$8*'Допущения'!D35*$B7*(1+'Допущения'!$B$13)^0</x:f>
        <x:v>559895.3389830509</x:v>
      </x:c>
      <x:c r="H7" s="9" t="n">
        <x:f>'Допущения'!C36*'Допущения'!$B$8*'Допущения'!D36*$B7*(1+'Допущения'!$B$13)^0</x:f>
        <x:v>40312.46440677967</x:v>
      </x:c>
      <x:c r="I7" s="9" t="n">
        <x:f>'Допущения'!C37*'Допущения'!$B$8*'Допущения'!D37*$B7*(1+'Допущения'!$B$13)^0</x:f>
        <x:v>37326.35593220339</x:v>
      </x:c>
      <x:c r="J7" s="7" t="n">
        <x:f>SUM(C7:I7)</x:f>
        <x:v>2898018.274576272</x:v>
      </x:c>
      <x:c r="K7" s="9" t="n">
        <x:f>J7/(1+'Допущения'!$B$9)</x:f>
        <x:v>2760017.404358354</x:v>
      </x:c>
      <x:c r="L7" s="9" t="n">
        <x:f>C7/(1+'Допущения'!$B$9)*'Допущения'!E31+'Допущения'!C31*'Допущения'!$B$8*$B7*'Допущения'!F31*(1+'Допущения'!$B$14)^0+D7/(1+'Допущения'!$B$9)*'Допущения'!E32+'Допущения'!C32*'Допущения'!$B$8*$B7*'Допущения'!F32*(1+'Допущения'!$B$14)^0+E7/(1+'Допущения'!$B$9)*'Допущения'!E33+'Допущения'!C33*'Допущения'!$B$8*$B7*'Допущения'!F33*(1+'Допущения'!$B$14)^0+F7/(1+'Допущения'!$B$9)*'Допущения'!E34+'Допущения'!C34*'Допущения'!$B$8*$B7*'Допущения'!F34*(1+'Допущения'!$B$14)^0+G7/(1+'Допущения'!$B$9)*'Допущения'!E35+'Допущения'!C35*'Допущения'!$B$8*$B7*'Допущения'!F35*(1+'Допущения'!$B$14)^0+H7/(1+'Допущения'!$B$9)*'Допущения'!E36+'Допущения'!C36*'Допущения'!$B$8*$B7*'Допущения'!F36*(1+'Допущения'!$B$14)^0+I7/(1+'Допущения'!$B$9)*'Допущения'!E37+'Допущения'!C37*'Допущения'!$B$8*$B7*'Допущения'!F37*(1+'Допущения'!$B$14)^0</x:f>
        <x:v>369868.638377724</x:v>
      </x:c>
      <x:c r="M7" s="9" t="n">
        <x:f>J7*'Допущения'!$B$11</x:f>
        <x:v>57960.36549152544</x:v>
      </x:c>
      <x:c r="N7" s="9" t="n">
        <x:f>'Инвестиции'!$C$35*(1+'Допущения'!$B$14)^0</x:f>
        <x:v>1780676.3013333334</x:v>
      </x:c>
      <x:c r="O7" s="9" t="n">
        <x:f>K7*'Допущения'!$B$10</x:f>
        <x:v>165601.04426150123</x:v>
      </x:c>
      <x:c r="P7" s="9" t="n">
        <x:f>K7*'Допущения'!$B$12</x:f>
        <x:v>55200.348087167076</x:v>
      </x:c>
      <x:c r="Q7" s="7" t="n">
        <x:f>K7-L7-M7-N7</x:f>
        <x:v>551512.0991557715</x:v>
      </x:c>
      <x:c r="R7" s="7" t="n">
        <x:f>Q7-O7-P7</x:f>
        <x:v>330710.70680710324</x:v>
      </x:c>
      <x:c r="S7" s="9" t="n">
        <x:f>R7-'Инвестиции'!C20</x:f>
        <x:v>-28795767.797192898</x:v>
      </x:c>
      <x:c r="T7" s="7" t="n">
        <x:f>IF(S7&gt;=0,A7,999)</x:f>
        <x:v>999</x:v>
      </x:c>
      <x:c r="U7" s="22" t="n">
        <x:f>'Допущения'!C31*'Допущения'!$B$8*B7*'Допущения'!$B$17/'Допущения'!$B$18/'Допущения'!$B$16</x:f>
        <x:v>15.835423728813565</x:v>
      </x:c>
      <x:c r="V7" s="7"/>
      <x:c r="W7" s="7"/>
    </x:row>
    <x:row r="8" ht="23" customHeight="1">
      <x:c r="A8" s="1" t="n">
        <x:v>2</x:v>
      </x:c>
      <x:c r="B8" s="17" t="n">
        <x:f>'Допущения'!C43*'Допущения'!D43</x:f>
        <x:v>0.5872881355932205</x:v>
      </x:c>
      <x:c r="C8" s="9" t="n">
        <x:f>'Допущения'!C31*'Допущения'!$B$8*'Допущения'!D31*$B8*(1+'Допущения'!$B$13)^0</x:f>
        <x:v>1828991.4406779667</x:v>
      </x:c>
      <x:c r="D8" s="9" t="n">
        <x:f>'Допущения'!C32*'Допущения'!$B$8*'Допущения'!D32*$B8*(1+'Допущения'!$B$13)^0</x:f>
        <x:v>125416.55593220344</x:v>
      </x:c>
      <x:c r="E8" s="9" t="n">
        <x:f>'Допущения'!C33*'Допущения'!$B$8*'Допущения'!D33*$B8*(1+'Допущения'!$B$13)^0</x:f>
        <x:v>292638.63050847466</x:v>
      </x:c>
      <x:c r="F8" s="9" t="n">
        <x:f>'Допущения'!C34*'Допущения'!$B$8*'Допущения'!D34*$B8*(1+'Допущения'!$B$13)^0</x:f>
        <x:v>390184.8406779662</x:v>
      </x:c>
      <x:c r="G8" s="9" t="n">
        <x:f>'Допущения'!C35*'Допущения'!$B$8*'Допущения'!D35*$B8*(1+'Допущения'!$B$13)^0</x:f>
        <x:v>653211.2288135595</x:v>
      </x:c>
      <x:c r="H8" s="9" t="n">
        <x:f>'Допущения'!C36*'Допущения'!$B$8*'Допущения'!D36*$B8*(1+'Допущения'!$B$13)^0</x:f>
        <x:v>47031.208474576284</x:v>
      </x:c>
      <x:c r="I8" s="9" t="n">
        <x:f>'Допущения'!C37*'Допущения'!$B$8*'Допущения'!D37*$B8*(1+'Допущения'!$B$13)^0</x:f>
        <x:v>43547.4152542373</x:v>
      </x:c>
      <x:c r="J8" s="7" t="n">
        <x:f>SUM(C8:I8)</x:f>
        <x:v>3381021.320338984</x:v>
      </x:c>
      <x:c r="K8" s="9" t="n">
        <x:f>J8/(1+'Допущения'!$B$9)</x:f>
        <x:v>3220020.3050847463</x:v>
      </x:c>
      <x:c r="L8" s="9" t="n">
        <x:f>C8/(1+'Допущения'!$B$9)*'Допущения'!E31+'Допущения'!C31*'Допущения'!$B$8*$B8*'Допущения'!F31*(1+'Допущения'!$B$14)^0+D8/(1+'Допущения'!$B$9)*'Допущения'!E32+'Допущения'!C32*'Допущения'!$B$8*$B8*'Допущения'!F32*(1+'Допущения'!$B$14)^0+E8/(1+'Допущения'!$B$9)*'Допущения'!E33+'Допущения'!C33*'Допущения'!$B$8*$B8*'Допущения'!F33*(1+'Допущения'!$B$14)^0+F8/(1+'Допущения'!$B$9)*'Допущения'!E34+'Допущения'!C34*'Допущения'!$B$8*$B8*'Допущения'!F34*(1+'Допущения'!$B$14)^0+G8/(1+'Допущения'!$B$9)*'Допущения'!E35+'Допущения'!C35*'Допущения'!$B$8*$B8*'Допущения'!F35*(1+'Допущения'!$B$14)^0+H8/(1+'Допущения'!$B$9)*'Допущения'!E36+'Допущения'!C36*'Допущения'!$B$8*$B8*'Допущения'!F36*(1+'Допущения'!$B$14)^0+I8/(1+'Допущения'!$B$9)*'Допущения'!E37+'Допущения'!C37*'Допущения'!$B$8*$B8*'Допущения'!F37*(1+'Допущения'!$B$14)^0</x:f>
        <x:v>431513.4114406781</x:v>
      </x:c>
      <x:c r="M8" s="9" t="n">
        <x:f>J8*'Допущения'!$B$11</x:f>
        <x:v>67620.42640677968</x:v>
      </x:c>
      <x:c r="N8" s="9" t="n">
        <x:f>'Инвестиции'!$C$35*(1+'Допущения'!$B$14)^0</x:f>
        <x:v>1780676.3013333334</x:v>
      </x:c>
      <x:c r="O8" s="9" t="n">
        <x:f>K8*'Допущения'!$B$10</x:f>
        <x:v>193201.21830508477</x:v>
      </x:c>
      <x:c r="P8" s="9" t="n">
        <x:f>K8*'Допущения'!$B$12</x:f>
        <x:v>64400.40610169493</x:v>
      </x:c>
      <x:c r="Q8" s="7" t="n">
        <x:f>K8-L8-M8-N8</x:f>
        <x:v>940210.1659039552</x:v>
      </x:c>
      <x:c r="R8" s="7" t="n">
        <x:f>Q8-O8-P8</x:f>
        <x:v>682608.5414971756</x:v>
      </x:c>
      <x:c r="S8" s="7" t="n">
        <x:f>S7+R8</x:f>
        <x:v>-28113159.255695723</x:v>
      </x:c>
      <x:c r="T8" s="7" t="n">
        <x:f>IF(S8&gt;=0,A8,999)</x:f>
        <x:v>999</x:v>
      </x:c>
      <x:c r="U8" s="22" t="n">
        <x:f>'Допущения'!C31*'Допущения'!$B$8*B8*'Допущения'!$B$17/'Допущения'!$B$18/'Допущения'!$B$16</x:f>
        <x:v>18.474661016949156</x:v>
      </x:c>
      <x:c r="V8" s="7"/>
      <x:c r="W8" s="7"/>
    </x:row>
    <x:row r="9" ht="23" customHeight="1">
      <x:c r="A9" s="1" t="n">
        <x:v>3</x:v>
      </x:c>
      <x:c r="B9" s="17" t="n">
        <x:f>'Допущения'!C44*'Допущения'!D44</x:f>
        <x:v>0.6610169491525424</x:v>
      </x:c>
      <x:c r="C9" s="9" t="n">
        <x:f>'Допущения'!C31*'Допущения'!$B$8*'Допущения'!D31*$B9*(1+'Допущения'!$B$13)^0</x:f>
        <x:v>2058605.084745763</x:v>
      </x:c>
      <x:c r="D9" s="9" t="n">
        <x:f>'Допущения'!C32*'Допущения'!$B$8*'Допущения'!D32*$B9*(1+'Допущения'!$B$13)^0</x:f>
        <x:v>141161.49152542374</x:v>
      </x:c>
      <x:c r="E9" s="9" t="n">
        <x:f>'Допущения'!C33*'Допущения'!$B$8*'Допущения'!D33*$B9*(1+'Допущения'!$B$13)^0</x:f>
        <x:v>329376.8135593221</x:v>
      </x:c>
      <x:c r="F9" s="9" t="n">
        <x:f>'Допущения'!C34*'Допущения'!$B$8*'Допущения'!D34*$B9*(1+'Допущения'!$B$13)^0</x:f>
        <x:v>439169.0847457627</x:v>
      </x:c>
      <x:c r="G9" s="9" t="n">
        <x:f>'Допущения'!C35*'Допущения'!$B$8*'Допущения'!D35*$B9*(1+'Допущения'!$B$13)^0</x:f>
        <x:v>735216.1016949153</x:v>
      </x:c>
      <x:c r="H9" s="9" t="n">
        <x:f>'Допущения'!C36*'Допущения'!$B$8*'Допущения'!D36*$B9*(1+'Допущения'!$B$13)^0</x:f>
        <x:v>52935.5593220339</x:v>
      </x:c>
      <x:c r="I9" s="9" t="n">
        <x:f>'Допущения'!C37*'Допущения'!$B$8*'Допущения'!D37*$B9*(1+'Допущения'!$B$13)^0</x:f>
        <x:v>49014.40677966102</x:v>
      </x:c>
      <x:c r="J9" s="7" t="n">
        <x:f>SUM(C9:I9)</x:f>
        <x:v>3805478.5423728824</x:v>
      </x:c>
      <x:c r="K9" s="9" t="n">
        <x:f>J9/(1+'Допущения'!$B$9)</x:f>
        <x:v>3624265.278450364</x:v>
      </x:c>
      <x:c r="L9" s="9" t="n">
        <x:f>C9/(1+'Допущения'!$B$9)*'Допущения'!E31+'Допущения'!C31*'Допущения'!$B$8*$B9*'Допущения'!F31*(1+'Допущения'!$B$14)^0+D9/(1+'Допущения'!$B$9)*'Допущения'!E32+'Допущения'!C32*'Допущения'!$B$8*$B9*'Допущения'!F32*(1+'Допущения'!$B$14)^0+E9/(1+'Допущения'!$B$9)*'Допущения'!E33+'Допущения'!C33*'Допущения'!$B$8*$B9*'Допущения'!F33*(1+'Допущения'!$B$14)^0+F9/(1+'Допущения'!$B$9)*'Допущения'!E34+'Допущения'!C34*'Допущения'!$B$8*$B9*'Допущения'!F34*(1+'Допущения'!$B$14)^0+G9/(1+'Допущения'!$B$9)*'Допущения'!E35+'Допущения'!C35*'Допущения'!$B$8*$B9*'Допущения'!F35*(1+'Допущения'!$B$14)^0+H9/(1+'Допущения'!$B$9)*'Допущения'!E36+'Допущения'!C36*'Допущения'!$B$8*$B9*'Допущения'!F36*(1+'Допущения'!$B$14)^0+I9/(1+'Допущения'!$B$9)*'Допущения'!E37+'Допущения'!C37*'Допущения'!$B$8*$B9*'Допущения'!F37*(1+'Допущения'!$B$14)^0</x:f>
        <x:v>485686.0907990315</x:v>
      </x:c>
      <x:c r="M9" s="9" t="n">
        <x:f>J9*'Допущения'!$B$11</x:f>
        <x:v>76109.57084745765</x:v>
      </x:c>
      <x:c r="N9" s="9" t="n">
        <x:f>'Инвестиции'!$C$35*(1+'Допущения'!$B$14)^0</x:f>
        <x:v>1780676.3013333334</x:v>
      </x:c>
      <x:c r="O9" s="9" t="n">
        <x:f>K9*'Допущения'!$B$10</x:f>
        <x:v>217455.91670702182</x:v>
      </x:c>
      <x:c r="P9" s="9" t="n">
        <x:f>K9*'Допущения'!$B$12</x:f>
        <x:v>72485.30556900728</x:v>
      </x:c>
      <x:c r="Q9" s="7" t="n">
        <x:f>K9-L9-M9-N9</x:f>
        <x:v>1281793.3154705414</x:v>
      </x:c>
      <x:c r="R9" s="7" t="n">
        <x:f>Q9-O9-P9</x:f>
        <x:v>991852.0931945122</x:v>
      </x:c>
      <x:c r="S9" s="7" t="n">
        <x:f>S8+R9</x:f>
        <x:v>-27121307.162501212</x:v>
      </x:c>
      <x:c r="T9" s="7" t="n">
        <x:f>IF(S9&gt;=0,A9,999)</x:f>
        <x:v>999</x:v>
      </x:c>
      <x:c r="U9" s="22" t="n">
        <x:f>'Допущения'!C31*'Допущения'!$B$8*B9*'Допущения'!$B$17/'Допущения'!$B$18/'Допущения'!$B$16</x:f>
        <x:v>20.79399075500771</x:v>
      </x:c>
      <x:c r="V9" s="7"/>
      <x:c r="W9" s="7"/>
    </x:row>
    <x:row r="10" ht="23" customHeight="1">
      <x:c r="A10" s="1" t="n">
        <x:v>4</x:v>
      </x:c>
      <x:c r="B10" s="17" t="n">
        <x:f>'Допущения'!C45*'Допущения'!D45</x:f>
        <x:v>0.6864406779661016</x:v>
      </x:c>
      <x:c r="C10" s="9" t="n">
        <x:f>'Допущения'!C31*'Допущения'!$B$8*'Допущения'!D31*$B10*(1+'Допущения'!$B$13)^0</x:f>
        <x:v>2137782.203389831</x:v>
      </x:c>
      <x:c r="D10" s="9" t="n">
        <x:f>'Допущения'!C32*'Допущения'!$B$8*'Допущения'!D32*$B10*(1+'Допущения'!$B$13)^0</x:f>
        <x:v>146590.77966101695</x:v>
      </x:c>
      <x:c r="E10" s="9" t="n">
        <x:f>'Допущения'!C33*'Допущения'!$B$8*'Допущения'!D33*$B10*(1+'Допущения'!$B$13)^0</x:f>
        <x:v>342045.1525423729</x:v>
      </x:c>
      <x:c r="F10" s="9" t="n">
        <x:f>'Допущения'!C34*'Допущения'!$B$8*'Допущения'!D34*$B10*(1+'Допущения'!$B$13)^0</x:f>
        <x:v>456060.2033898305</x:v>
      </x:c>
      <x:c r="G10" s="9" t="n">
        <x:f>'Допущения'!C35*'Допущения'!$B$8*'Допущения'!D35*$B10*(1+'Допущения'!$B$13)^0</x:f>
        <x:v>763493.6440677965</x:v>
      </x:c>
      <x:c r="H10" s="9" t="n">
        <x:f>'Допущения'!C36*'Допущения'!$B$8*'Допущения'!D36*$B10*(1+'Допущения'!$B$13)^0</x:f>
        <x:v>54971.542372881355</x:v>
      </x:c>
      <x:c r="I10" s="9" t="n">
        <x:f>'Допущения'!C37*'Допущения'!$B$8*'Допущения'!D37*$B10*(1+'Допущения'!$B$13)^0</x:f>
        <x:v>50899.57627118644</x:v>
      </x:c>
      <x:c r="J10" s="7" t="n">
        <x:f>SUM(C10:I10)</x:f>
        <x:v>3951843.1016949154</x:v>
      </x:c>
      <x:c r="K10" s="9" t="n">
        <x:f>J10/(1+'Допущения'!$B$9)</x:f>
        <x:v>3763660.0968523</x:v>
      </x:c>
      <x:c r="L10" s="9" t="n">
        <x:f>C10/(1+'Допущения'!$B$9)*'Допущения'!E31+'Допущения'!C31*'Допущения'!$B$8*$B10*'Допущения'!F31*(1+'Допущения'!$B$14)^0+D10/(1+'Допущения'!$B$9)*'Допущения'!E32+'Допущения'!C32*'Допущения'!$B$8*$B10*'Допущения'!F32*(1+'Допущения'!$B$14)^0+E10/(1+'Допущения'!$B$9)*'Допущения'!E33+'Допущения'!C33*'Допущения'!$B$8*$B10*'Допущения'!F33*(1+'Допущения'!$B$14)^0+F10/(1+'Допущения'!$B$9)*'Допущения'!E34+'Допущения'!C34*'Допущения'!$B$8*$B10*'Допущения'!F34*(1+'Допущения'!$B$14)^0+G10/(1+'Допущения'!$B$9)*'Допущения'!E35+'Допущения'!C35*'Допущения'!$B$8*$B10*'Допущения'!F35*(1+'Допущения'!$B$14)^0+H10/(1+'Допущения'!$B$9)*'Допущения'!E36+'Допущения'!C36*'Допущения'!$B$8*$B10*'Допущения'!F36*(1+'Допущения'!$B$14)^0+I10/(1+'Допущения'!$B$9)*'Допущения'!E37+'Допущения'!C37*'Допущения'!$B$8*$B10*'Допущения'!F37*(1+'Допущения'!$B$14)^0</x:f>
        <x:v>504366.3250605326</x:v>
      </x:c>
      <x:c r="M10" s="9" t="n">
        <x:f>J10*'Допущения'!$B$11</x:f>
        <x:v>79036.86203389832</x:v>
      </x:c>
      <x:c r="N10" s="9" t="n">
        <x:f>'Инвестиции'!$C$35*(1+'Допущения'!$B$14)^0</x:f>
        <x:v>1780676.3013333334</x:v>
      </x:c>
      <x:c r="O10" s="9" t="n">
        <x:f>K10*'Допущения'!$B$10</x:f>
        <x:v>225819.605811138</x:v>
      </x:c>
      <x:c r="P10" s="9" t="n">
        <x:f>K10*'Допущения'!$B$12</x:f>
        <x:v>75273.201937046</x:v>
      </x:c>
      <x:c r="Q10" s="7" t="n">
        <x:f>K10-L10-M10-N10</x:f>
        <x:v>1399580.608424536</x:v>
      </x:c>
      <x:c r="R10" s="7" t="n">
        <x:f>Q10-O10-P10</x:f>
        <x:v>1098487.800676352</x:v>
      </x:c>
      <x:c r="S10" s="7" t="n">
        <x:f>S9+R10</x:f>
        <x:v>-26022819.36182486</x:v>
      </x:c>
      <x:c r="T10" s="7" t="n">
        <x:f>IF(S10&gt;=0,A10,999)</x:f>
        <x:v>999</x:v>
      </x:c>
      <x:c r="U10" s="22" t="n">
        <x:f>'Допущения'!C31*'Допущения'!$B$8*B10*'Допущения'!$B$17/'Допущения'!$B$18/'Допущения'!$B$16</x:f>
        <x:v>21.59375963020031</x:v>
      </x:c>
      <x:c r="V10" s="7"/>
      <x:c r="W10" s="7"/>
    </x:row>
    <x:row r="11" ht="23" customHeight="1">
      <x:c r="A11" s="1" t="n">
        <x:v>5</x:v>
      </x:c>
      <x:c r="B11" s="17" t="n">
        <x:f>'Допущения'!C46*'Допущения'!D46</x:f>
        <x:v>0.7347457627118643</x:v>
      </x:c>
      <x:c r="C11" s="9" t="n">
        <x:f>'Допущения'!C31*'Допущения'!$B$8*'Допущения'!D31*$B11*(1+'Допущения'!$B$13)^0</x:f>
        <x:v>2288218.7288135593</x:v>
      </x:c>
      <x:c r="D11" s="9" t="n">
        <x:f>'Допущения'!C32*'Допущения'!$B$8*'Допущения'!D32*$B11*(1+'Допущения'!$B$13)^0</x:f>
        <x:v>156906.42711864406</x:v>
      </x:c>
      <x:c r="E11" s="9" t="n">
        <x:f>'Допущения'!C33*'Допущения'!$B$8*'Допущения'!D33*$B11*(1+'Допущения'!$B$13)^0</x:f>
        <x:v>366114.9966101695</x:v>
      </x:c>
      <x:c r="F11" s="9" t="n">
        <x:f>'Допущения'!C34*'Допущения'!$B$8*'Допущения'!D34*$B11*(1+'Допущения'!$B$13)^0</x:f>
        <x:v>488153.32881355926</x:v>
      </x:c>
      <x:c r="G11" s="9" t="n">
        <x:f>'Допущения'!C35*'Допущения'!$B$8*'Допущения'!D35*$B11*(1+'Допущения'!$B$13)^0</x:f>
        <x:v>817220.9745762711</x:v>
      </x:c>
      <x:c r="H11" s="9" t="n">
        <x:f>'Допущения'!C36*'Допущения'!$B$8*'Допущения'!D36*$B11*(1+'Допущения'!$B$13)^0</x:f>
        <x:v>58839.910169491515</x:v>
      </x:c>
      <x:c r="I11" s="9" t="n">
        <x:f>'Допущения'!C37*'Допущения'!$B$8*'Допущения'!D37*$B11*(1+'Допущения'!$B$13)^0</x:f>
        <x:v>54481.39830508474</x:v>
      </x:c>
      <x:c r="J11" s="7" t="n">
        <x:f>SUM(C11:I11)</x:f>
        <x:v>4229935.76440678</x:v>
      </x:c>
      <x:c r="K11" s="9" t="n">
        <x:f>J11/(1+'Допущения'!$B$9)</x:f>
        <x:v>4028510.2518159808</x:v>
      </x:c>
      <x:c r="L11" s="9" t="n">
        <x:f>C11/(1+'Допущения'!$B$9)*'Допущения'!E31+'Допущения'!C31*'Допущения'!$B$8*$B11*'Допущения'!F31*(1+'Допущения'!$B$14)^0+D11/(1+'Допущения'!$B$9)*'Допущения'!E32+'Допущения'!C32*'Допущения'!$B$8*$B11*'Допущения'!F32*(1+'Допущения'!$B$14)^0+E11/(1+'Допущения'!$B$9)*'Допущения'!E33+'Допущения'!C33*'Допущения'!$B$8*$B11*'Допущения'!F33*(1+'Допущения'!$B$14)^0+F11/(1+'Допущения'!$B$9)*'Допущения'!E34+'Допущения'!C34*'Допущения'!$B$8*$B11*'Допущения'!F34*(1+'Допущения'!$B$14)^0+G11/(1+'Допущения'!$B$9)*'Допущения'!E35+'Допущения'!C35*'Допущения'!$B$8*$B11*'Допущения'!F35*(1+'Допущения'!$B$14)^0+H11/(1+'Допущения'!$B$9)*'Допущения'!E36+'Допущения'!C36*'Допущения'!$B$8*$B11*'Допущения'!F36*(1+'Допущения'!$B$14)^0+I11/(1+'Допущения'!$B$9)*'Допущения'!E37+'Допущения'!C37*'Допущения'!$B$8*$B11*'Допущения'!F37*(1+'Допущения'!$B$14)^0</x:f>
        <x:v>539858.7701573849</x:v>
      </x:c>
      <x:c r="M11" s="9" t="n">
        <x:f>J11*'Допущения'!$B$11</x:f>
        <x:v>84598.7152881356</x:v>
      </x:c>
      <x:c r="N11" s="9" t="n">
        <x:f>'Инвестиции'!$C$35*(1+'Допущения'!$B$14)^0</x:f>
        <x:v>1780676.3013333334</x:v>
      </x:c>
      <x:c r="O11" s="9" t="n">
        <x:f>K11*'Допущения'!$B$10</x:f>
        <x:v>241710.61510895882</x:v>
      </x:c>
      <x:c r="P11" s="9" t="n">
        <x:f>K11*'Допущения'!$B$12</x:f>
        <x:v>80570.20503631962</x:v>
      </x:c>
      <x:c r="Q11" s="7" t="n">
        <x:f>K11-L11-M11-N11</x:f>
        <x:v>1623376.4650371266</x:v>
      </x:c>
      <x:c r="R11" s="7" t="n">
        <x:f>Q11-O11-P11</x:f>
        <x:v>1301095.644891848</x:v>
      </x:c>
      <x:c r="S11" s="7" t="n">
        <x:f>S10+R11</x:f>
        <x:v>-24721723.716933012</x:v>
      </x:c>
      <x:c r="T11" s="7" t="n">
        <x:f>IF(S11&gt;=0,A11,999)</x:f>
        <x:v>999</x:v>
      </x:c>
      <x:c r="U11" s="22" t="n">
        <x:f>'Допущения'!C31*'Допущения'!$B$8*B11*'Допущения'!$B$17/'Допущения'!$B$18/'Допущения'!$B$16</x:f>
        <x:v>23.113320493066258</x:v>
      </x:c>
      <x:c r="V11" s="7"/>
      <x:c r="W11" s="7"/>
    </x:row>
    <x:row r="12" ht="23" customHeight="1">
      <x:c r="A12" s="1" t="n">
        <x:v>6</x:v>
      </x:c>
      <x:c r="B12" s="17" t="n">
        <x:f>'Допущения'!C47*'Допущения'!D47</x:f>
        <x:v>0.6406779661016948</x:v>
      </x:c>
      <x:c r="C12" s="9" t="n">
        <x:f>'Допущения'!C31*'Допущения'!$B$8*'Допущения'!D31*$B12*(1+'Допущения'!$B$13)^0</x:f>
        <x:v>1995263.3898305085</x:v>
      </x:c>
      <x:c r="D12" s="9" t="n">
        <x:f>'Допущения'!C32*'Допущения'!$B$8*'Допущения'!D32*$B12*(1+'Допущения'!$B$13)^0</x:f>
        <x:v>136818.06101694916</x:v>
      </x:c>
      <x:c r="E12" s="9" t="n">
        <x:f>'Допущения'!C33*'Допущения'!$B$8*'Допущения'!D33*$B12*(1+'Допущения'!$B$13)^0</x:f>
        <x:v>319242.14237288135</x:v>
      </x:c>
      <x:c r="F12" s="9" t="n">
        <x:f>'Допущения'!C34*'Допущения'!$B$8*'Допущения'!D34*$B12*(1+'Допущения'!$B$13)^0</x:f>
        <x:v>425656.1898305084</x:v>
      </x:c>
      <x:c r="G12" s="9" t="n">
        <x:f>'Допущения'!C35*'Допущения'!$B$8*'Допущения'!D35*$B12*(1+'Допущения'!$B$13)^0</x:f>
        <x:v>712594.0677966101</x:v>
      </x:c>
      <x:c r="H12" s="9" t="n">
        <x:f>'Допущения'!C36*'Допущения'!$B$8*'Допущения'!D36*$B12*(1+'Допущения'!$B$13)^0</x:f>
        <x:v>51306.77288135592</x:v>
      </x:c>
      <x:c r="I12" s="9" t="n">
        <x:f>'Допущения'!C37*'Допущения'!$B$8*'Допущения'!D37*$B12*(1+'Допущения'!$B$13)^0</x:f>
        <x:v>47506.27118644067</x:v>
      </x:c>
      <x:c r="J12" s="7" t="n">
        <x:f>SUM(C12:I12)</x:f>
        <x:v>3688386.8949152543</x:v>
      </x:c>
      <x:c r="K12" s="9" t="n">
        <x:f>J12/(1+'Допущения'!$B$9)</x:f>
        <x:v>3512749.4237288134</x:v>
      </x:c>
      <x:c r="L12" s="9" t="n">
        <x:f>C12/(1+'Допущения'!$B$9)*'Допущения'!E31+'Допущения'!C31*'Допущения'!$B$8*$B12*'Допущения'!F31*(1+'Допущения'!$B$14)^0+D12/(1+'Допущения'!$B$9)*'Допущения'!E32+'Допущения'!C32*'Допущения'!$B$8*$B12*'Допущения'!F32*(1+'Допущения'!$B$14)^0+E12/(1+'Допущения'!$B$9)*'Допущения'!E33+'Допущения'!C33*'Допущения'!$B$8*$B12*'Допущения'!F33*(1+'Допущения'!$B$14)^0+F12/(1+'Допущения'!$B$9)*'Допущения'!E34+'Допущения'!C34*'Допущения'!$B$8*$B12*'Допущения'!F34*(1+'Допущения'!$B$14)^0+G12/(1+'Допущения'!$B$9)*'Допущения'!E35+'Допущения'!C35*'Допущения'!$B$8*$B12*'Допущения'!F35*(1+'Допущения'!$B$14)^0+H12/(1+'Допущения'!$B$9)*'Допущения'!E36+'Допущения'!C36*'Допущения'!$B$8*$B12*'Допущения'!F36*(1+'Допущения'!$B$14)^0+I12/(1+'Допущения'!$B$9)*'Допущения'!E37+'Допущения'!C37*'Допущения'!$B$8*$B12*'Допущения'!F37*(1+'Допущения'!$B$14)^0</x:f>
        <x:v>470741.9033898305</x:v>
      </x:c>
      <x:c r="M12" s="9" t="n">
        <x:f>J12*'Допущения'!$B$11</x:f>
        <x:v>73767.73789830509</x:v>
      </x:c>
      <x:c r="N12" s="9" t="n">
        <x:f>'Инвестиции'!$C$35*(1+'Допущения'!$B$14)^0</x:f>
        <x:v>1780676.3013333334</x:v>
      </x:c>
      <x:c r="O12" s="9" t="n">
        <x:f>K12*'Допущения'!$B$10</x:f>
        <x:v>210764.9654237288</x:v>
      </x:c>
      <x:c r="P12" s="9" t="n">
        <x:f>K12*'Допущения'!$B$12</x:f>
        <x:v>70254.98847457627</x:v>
      </x:c>
      <x:c r="Q12" s="7" t="n">
        <x:f>K12-L12-M12-N12</x:f>
        <x:v>1187563.4811073444</x:v>
      </x:c>
      <x:c r="R12" s="7" t="n">
        <x:f>Q12-O12-P12</x:f>
        <x:v>906543.5272090393</x:v>
      </x:c>
      <x:c r="S12" s="7" t="n">
        <x:f>S11+R12</x:f>
        <x:v>-23815180.189723972</x:v>
      </x:c>
      <x:c r="T12" s="7" t="n">
        <x:f>IF(S12&gt;=0,A12,999)</x:f>
        <x:v>999</x:v>
      </x:c>
      <x:c r="U12" s="22" t="n">
        <x:f>'Допущения'!C31*'Допущения'!$B$8*B12*'Допущения'!$B$17/'Допущения'!$B$18/'Допущения'!$B$16</x:f>
        <x:v>20.15417565485362</x:v>
      </x:c>
      <x:c r="V12" s="7"/>
      <x:c r="W12" s="7"/>
    </x:row>
    <x:row r="13" ht="23" customHeight="1">
      <x:c r="A13" s="1" t="n">
        <x:v>7</x:v>
      </x:c>
      <x:c r="B13" s="17" t="n">
        <x:f>'Допущения'!C48*'Допущения'!D48</x:f>
        <x:v>0.7245762711864406</x:v>
      </x:c>
      <x:c r="C13" s="9" t="n">
        <x:f>'Допущения'!C31*'Допущения'!$B$8*'Допущения'!D31*$B13*(1+'Допущения'!$B$13)^0</x:f>
        <x:v>2256547.8813559324</x:v>
      </x:c>
      <x:c r="D13" s="9" t="n">
        <x:f>'Допущения'!C32*'Допущения'!$B$8*'Допущения'!D32*$B13*(1+'Допущения'!$B$13)^0</x:f>
        <x:v>154734.7118644068</x:v>
      </x:c>
      <x:c r="E13" s="9" t="n">
        <x:f>'Допущения'!C33*'Допущения'!$B$8*'Допущения'!D33*$B13*(1+'Допущения'!$B$13)^0</x:f>
        <x:v>361047.66101694916</x:v>
      </x:c>
      <x:c r="F13" s="9" t="n">
        <x:f>'Допущения'!C34*'Допущения'!$B$8*'Допущения'!D34*$B13*(1+'Допущения'!$B$13)^0</x:f>
        <x:v>481396.88135593216</x:v>
      </x:c>
      <x:c r="G13" s="9" t="n">
        <x:f>'Допущения'!C35*'Допущения'!$B$8*'Допущения'!D35*$B13*(1+'Допущения'!$B$13)^0</x:f>
        <x:v>805909.9576271186</x:v>
      </x:c>
      <x:c r="H13" s="9" t="n">
        <x:f>'Допущения'!C36*'Допущения'!$B$8*'Допущения'!D36*$B13*(1+'Допущения'!$B$13)^0</x:f>
        <x:v>58025.51694915254</x:v>
      </x:c>
      <x:c r="I13" s="9" t="n">
        <x:f>'Допущения'!C37*'Допущения'!$B$8*'Допущения'!D37*$B13*(1+'Допущения'!$B$13)^0</x:f>
        <x:v>53727.33050847457</x:v>
      </x:c>
      <x:c r="J13" s="7" t="n">
        <x:f>SUM(C13:I13)</x:f>
        <x:v>4171389.940677966</x:v>
      </x:c>
      <x:c r="K13" s="9" t="n">
        <x:f>J13/(1+'Допущения'!$B$9)</x:f>
        <x:v>3972752.3244552054</x:v>
      </x:c>
      <x:c r="L13" s="9" t="n">
        <x:f>C13/(1+'Допущения'!$B$9)*'Допущения'!E31+'Допущения'!C31*'Допущения'!$B$8*$B13*'Допущения'!F31*(1+'Допущения'!$B$14)^0+D13/(1+'Допущения'!$B$9)*'Допущения'!E32+'Допущения'!C32*'Допущения'!$B$8*$B13*'Допущения'!F32*(1+'Допущения'!$B$14)^0+E13/(1+'Допущения'!$B$9)*'Допущения'!E33+'Допущения'!C33*'Допущения'!$B$8*$B13*'Допущения'!F33*(1+'Допущения'!$B$14)^0+F13/(1+'Допущения'!$B$9)*'Допущения'!E34+'Допущения'!C34*'Допущения'!$B$8*$B13*'Допущения'!F34*(1+'Допущения'!$B$14)^0+G13/(1+'Допущения'!$B$9)*'Допущения'!E35+'Допущения'!C35*'Допущения'!$B$8*$B13*'Допущения'!F35*(1+'Допущения'!$B$14)^0+H13/(1+'Допущения'!$B$9)*'Допущения'!E36+'Допущения'!C36*'Допущения'!$B$8*$B13*'Допущения'!F36*(1+'Допущения'!$B$14)^0+I13/(1+'Допущения'!$B$9)*'Допущения'!E37+'Допущения'!C37*'Допущения'!$B$8*$B13*'Допущения'!F37*(1+'Допущения'!$B$14)^0</x:f>
        <x:v>532386.6764527844</x:v>
      </x:c>
      <x:c r="M13" s="9" t="n">
        <x:f>J13*'Допущения'!$B$11</x:f>
        <x:v>83427.79881355932</x:v>
      </x:c>
      <x:c r="N13" s="9" t="n">
        <x:f>'Инвестиции'!$C$35*(1+'Допущения'!$B$14)^0</x:f>
        <x:v>1780676.3013333334</x:v>
      </x:c>
      <x:c r="O13" s="9" t="n">
        <x:f>K13*'Допущения'!$B$10</x:f>
        <x:v>238365.1394673123</x:v>
      </x:c>
      <x:c r="P13" s="9" t="n">
        <x:f>K13*'Допущения'!$B$12</x:f>
        <x:v>79455.0464891041</x:v>
      </x:c>
      <x:c r="Q13" s="7" t="n">
        <x:f>K13-L13-M13-N13</x:f>
        <x:v>1576261.5478555285</x:v>
      </x:c>
      <x:c r="R13" s="7" t="n">
        <x:f>Q13-O13-P13</x:f>
        <x:v>1258441.3618991121</x:v>
      </x:c>
      <x:c r="S13" s="7" t="n">
        <x:f>S12+R13</x:f>
        <x:v>-22556738.82782486</x:v>
      </x:c>
      <x:c r="T13" s="7" t="n">
        <x:f>IF(S13&gt;=0,A13,999)</x:f>
        <x:v>999</x:v>
      </x:c>
      <x:c r="U13" s="22" t="n">
        <x:f>'Допущения'!C31*'Допущения'!$B$8*B13*'Допущения'!$B$17/'Допущения'!$B$18/'Допущения'!$B$16</x:f>
        <x:v>22.793412942989217</x:v>
      </x:c>
      <x:c r="V13" s="7"/>
      <x:c r="W13" s="7"/>
    </x:row>
    <x:row r="14" ht="23" customHeight="1">
      <x:c r="A14" s="1" t="n">
        <x:v>8</x:v>
      </x:c>
      <x:c r="B14" s="17" t="n">
        <x:f>'Допущения'!C49*'Допущения'!D49</x:f>
        <x:v>0.8135593220338982</x:v>
      </x:c>
      <x:c r="C14" s="9" t="n">
        <x:f>'Допущения'!C31*'Допущения'!$B$8*'Допущения'!D31*$B14*(1+'Допущения'!$B$13)^0</x:f>
        <x:v>2533667.7966101696</x:v>
      </x:c>
      <x:c r="D14" s="9" t="n">
        <x:f>'Допущения'!C32*'Допущения'!$B$8*'Допущения'!D32*$B14*(1+'Допущения'!$B$13)^0</x:f>
        <x:v>173737.22033898305</x:v>
      </x:c>
      <x:c r="E14" s="9" t="n">
        <x:f>'Допущения'!C33*'Допущения'!$B$8*'Допущения'!D33*$B14*(1+'Допущения'!$B$13)^0</x:f>
        <x:v>405386.8474576271</x:v>
      </x:c>
      <x:c r="F14" s="9" t="n">
        <x:f>'Допущения'!C34*'Допущения'!$B$8*'Допущения'!D34*$B14*(1+'Допущения'!$B$13)^0</x:f>
        <x:v>540515.7966101695</x:v>
      </x:c>
      <x:c r="G14" s="9" t="n">
        <x:f>'Допущения'!C35*'Допущения'!$B$8*'Допущения'!D35*$B14*(1+'Допущения'!$B$13)^0</x:f>
        <x:v>904881.3559322034</x:v>
      </x:c>
      <x:c r="H14" s="9" t="n">
        <x:f>'Допущения'!C36*'Допущения'!$B$8*'Допущения'!D36*$B14*(1+'Допущения'!$B$13)^0</x:f>
        <x:v>65151.45762711864</x:v>
      </x:c>
      <x:c r="I14" s="9" t="n">
        <x:f>'Допущения'!C37*'Допущения'!$B$8*'Допущения'!D37*$B14*(1+'Допущения'!$B$13)^0</x:f>
        <x:v>60325.423728813555</x:v>
      </x:c>
      <x:c r="J14" s="7" t="n">
        <x:f>SUM(C14:I14)</x:f>
        <x:v>4683665.898305085</x:v>
      </x:c>
      <x:c r="K14" s="9" t="n">
        <x:f>J14/(1+'Допущения'!$B$9)</x:f>
        <x:v>4460634.188861985</x:v>
      </x:c>
      <x:c r="L14" s="9" t="n">
        <x:f>C14/(1+'Допущения'!$B$9)*'Допущения'!E31+'Допущения'!C31*'Допущения'!$B$8*$B14*'Допущения'!F31*(1+'Допущения'!$B$14)^0+D14/(1+'Допущения'!$B$9)*'Допущения'!E32+'Допущения'!C32*'Допущения'!$B$8*$B14*'Допущения'!F32*(1+'Допущения'!$B$14)^0+E14/(1+'Допущения'!$B$9)*'Допущения'!E33+'Допущения'!C33*'Допущения'!$B$8*$B14*'Допущения'!F33*(1+'Допущения'!$B$14)^0+F14/(1+'Допущения'!$B$9)*'Допущения'!E34+'Допущения'!C34*'Допущения'!$B$8*$B14*'Допущения'!F34*(1+'Допущения'!$B$14)^0+G14/(1+'Допущения'!$B$9)*'Допущения'!E35+'Допущения'!C35*'Допущения'!$B$8*$B14*'Допущения'!F35*(1+'Допущения'!$B$14)^0+H14/(1+'Допущения'!$B$9)*'Допущения'!E36+'Допущения'!C36*'Допущения'!$B$8*$B14*'Допущения'!F36*(1+'Допущения'!$B$14)^0+I14/(1+'Допущения'!$B$9)*'Допущения'!E37+'Допущения'!C37*'Допущения'!$B$8*$B14*'Допущения'!F37*(1+'Допущения'!$B$14)^0</x:f>
        <x:v>597767.4963680386</x:v>
      </x:c>
      <x:c r="M14" s="9" t="n">
        <x:f>J14*'Допущения'!$B$11</x:f>
        <x:v>93673.31796610169</x:v>
      </x:c>
      <x:c r="N14" s="9" t="n">
        <x:f>'Инвестиции'!$C$35*(1+'Допущения'!$B$14)^0</x:f>
        <x:v>1780676.3013333334</x:v>
      </x:c>
      <x:c r="O14" s="9" t="n">
        <x:f>K14*'Допущения'!$B$10</x:f>
        <x:v>267638.0513317191</x:v>
      </x:c>
      <x:c r="P14" s="9" t="n">
        <x:f>K14*'Допущения'!$B$12</x:f>
        <x:v>89212.6837772397</x:v>
      </x:c>
      <x:c r="Q14" s="7" t="n">
        <x:f>K14-L14-M14-N14</x:f>
        <x:v>1988517.0731945112</x:v>
      </x:c>
      <x:c r="R14" s="7" t="n">
        <x:f>Q14-O14-P14</x:f>
        <x:v>1631666.3380855524</x:v>
      </x:c>
      <x:c r="S14" s="7" t="n">
        <x:f>S13+R14</x:f>
        <x:v>-20925072.48973931</x:v>
      </x:c>
      <x:c r="T14" s="7" t="n">
        <x:f>IF(S14&gt;=0,A14,999)</x:f>
        <x:v>999</x:v>
      </x:c>
      <x:c r="U14" s="22" t="n">
        <x:f>'Допущения'!C31*'Допущения'!$B$8*B14*'Допущения'!$B$17/'Допущения'!$B$18/'Допущения'!$B$16</x:f>
        <x:v>25.592604006163324</x:v>
      </x:c>
      <x:c r="V14" s="7"/>
      <x:c r="W14" s="7"/>
    </x:row>
    <x:row r="15" ht="23" customHeight="1">
      <x:c r="A15" s="1" t="n">
        <x:v>9</x:v>
      </x:c>
      <x:c r="B15" s="17" t="n">
        <x:f>'Допущения'!C50*'Допущения'!D50</x:f>
        <x:v>1.0677966101694916</x:v>
      </x:c>
      <x:c r="C15" s="9" t="n">
        <x:f>'Допущения'!C31*'Допущения'!$B$8*'Допущения'!D31*$B15*(1+'Допущения'!$B$13)^0</x:f>
        <x:v>3325438.983050848</x:v>
      </x:c>
      <x:c r="D15" s="9" t="n">
        <x:f>'Допущения'!C32*'Допущения'!$B$8*'Допущения'!D32*$B15*(1+'Допущения'!$B$13)^0</x:f>
        <x:v>228030.1016949153</x:v>
      </x:c>
      <x:c r="E15" s="9" t="n">
        <x:f>'Допущения'!C33*'Допущения'!$B$8*'Допущения'!D33*$B15*(1+'Допущения'!$B$13)^0</x:f>
        <x:v>532070.2372881357</x:v>
      </x:c>
      <x:c r="F15" s="9" t="n">
        <x:f>'Допущения'!C34*'Допущения'!$B$8*'Допущения'!D34*$B15*(1+'Допущения'!$B$13)^0</x:f>
        <x:v>709426.9830508475</x:v>
      </x:c>
      <x:c r="G15" s="9" t="n">
        <x:f>'Допущения'!C35*'Допущения'!$B$8*'Допущения'!D35*$B15*(1+'Допущения'!$B$13)^0</x:f>
        <x:v>1187656.779661017</x:v>
      </x:c>
      <x:c r="H15" s="9" t="n">
        <x:f>'Допущения'!C36*'Допущения'!$B$8*'Допущения'!D36*$B15*(1+'Допущения'!$B$13)^0</x:f>
        <x:v>85511.28813559322</x:v>
      </x:c>
      <x:c r="I15" s="9" t="n">
        <x:f>'Допущения'!C37*'Допущения'!$B$8*'Допущения'!D37*$B15*(1+'Допущения'!$B$13)^0</x:f>
        <x:v>79177.1186440678</x:v>
      </x:c>
      <x:c r="J15" s="7" t="n">
        <x:f>SUM(C15:I15)</x:f>
        <x:v>6147311.491525424</x:v>
      </x:c>
      <x:c r="K15" s="9" t="n">
        <x:f>J15/(1+'Допущения'!$B$9)</x:f>
        <x:v>5854582.372881356</x:v>
      </x:c>
      <x:c r="L15" s="9" t="n">
        <x:f>C15/(1+'Допущения'!$B$9)*'Допущения'!E31+'Допущения'!C31*'Допущения'!$B$8*$B15*'Допущения'!F31*(1+'Допущения'!$B$14)^0+D15/(1+'Допущения'!$B$9)*'Допущения'!E32+'Допущения'!C32*'Допущения'!$B$8*$B15*'Допущения'!F32*(1+'Допущения'!$B$14)^0+E15/(1+'Допущения'!$B$9)*'Допущения'!E33+'Допущения'!C33*'Допущения'!$B$8*$B15*'Допущения'!F33*(1+'Допущения'!$B$14)^0+F15/(1+'Допущения'!$B$9)*'Допущения'!E34+'Допущения'!C34*'Допущения'!$B$8*$B15*'Допущения'!F34*(1+'Допущения'!$B$14)^0+G15/(1+'Допущения'!$B$9)*'Допущения'!E35+'Допущения'!C35*'Допущения'!$B$8*$B15*'Допущения'!F35*(1+'Допущения'!$B$14)^0+H15/(1+'Допущения'!$B$9)*'Допущения'!E36+'Допущения'!C36*'Допущения'!$B$8*$B15*'Допущения'!F36*(1+'Допущения'!$B$14)^0+I15/(1+'Допущения'!$B$9)*'Допущения'!E37+'Допущения'!C37*'Допущения'!$B$8*$B15*'Допущения'!F37*(1+'Допущения'!$B$14)^0</x:f>
        <x:v>784569.8389830509</x:v>
      </x:c>
      <x:c r="M15" s="9" t="n">
        <x:f>J15*'Допущения'!$B$11</x:f>
        <x:v>122946.22983050847</x:v>
      </x:c>
      <x:c r="N15" s="9" t="n">
        <x:f>'Инвестиции'!$C$35*(1+'Допущения'!$B$14)^0</x:f>
        <x:v>1780676.3013333334</x:v>
      </x:c>
      <x:c r="O15" s="9" t="n">
        <x:f>K15*'Допущения'!$B$10</x:f>
        <x:v>351274.94237288134</x:v>
      </x:c>
      <x:c r="P15" s="9" t="n">
        <x:f>K15*'Допущения'!$B$12</x:f>
        <x:v>117091.64745762711</x:v>
      </x:c>
      <x:c r="Q15" s="7" t="n">
        <x:f>K15-L15-M15-N15</x:f>
        <x:v>3166390.0027344637</x:v>
      </x:c>
      <x:c r="R15" s="7" t="n">
        <x:f>Q15-O15-P15</x:f>
        <x:v>2698023.412903955</x:v>
      </x:c>
      <x:c r="S15" s="7" t="n">
        <x:f>S14+R15</x:f>
        <x:v>-18227049.076835357</x:v>
      </x:c>
      <x:c r="T15" s="7" t="n">
        <x:f>IF(S15&gt;=0,A15,999)</x:f>
        <x:v>999</x:v>
      </x:c>
      <x:c r="U15" s="22" t="n">
        <x:f>'Допущения'!C31*'Допущения'!$B$8*B15*'Допущения'!$B$17/'Допущения'!$B$18/'Допущения'!$B$16</x:f>
        <x:v>33.59029275808938</x:v>
      </x:c>
      <x:c r="V15" s="7"/>
      <x:c r="W15" s="7"/>
    </x:row>
    <x:row r="16" ht="23" customHeight="1">
      <x:c r="A16" s="1" t="n">
        <x:v>10</x:v>
      </x:c>
      <x:c r="B16" s="17" t="n">
        <x:f>'Допущения'!C51*'Допущения'!D51</x:f>
        <x:v>1.1694915254237286</x:v>
      </x:c>
      <x:c r="C16" s="9" t="n">
        <x:f>'Допущения'!C31*'Допущения'!$B$8*'Допущения'!D31*$B16*(1+'Допущения'!$B$13)^0</x:f>
        <x:v>3642147.4576271186</x:v>
      </x:c>
      <x:c r="D16" s="9" t="n">
        <x:f>'Допущения'!C32*'Допущения'!$B$8*'Допущения'!D32*$B16*(1+'Допущения'!$B$13)^0</x:f>
        <x:v>249747.2542372881</x:v>
      </x:c>
      <x:c r="E16" s="9" t="n">
        <x:f>'Допущения'!C33*'Допущения'!$B$8*'Допущения'!D33*$B16*(1+'Допущения'!$B$13)^0</x:f>
        <x:v>582743.5932203389</x:v>
      </x:c>
      <x:c r="F16" s="9" t="n">
        <x:f>'Допущения'!C34*'Допущения'!$B$8*'Допущения'!D34*$B16*(1+'Допущения'!$B$13)^0</x:f>
        <x:v>776991.4576271184</x:v>
      </x:c>
      <x:c r="G16" s="9" t="n">
        <x:f>'Допущения'!C35*'Допущения'!$B$8*'Допущения'!D35*$B16*(1+'Допущения'!$B$13)^0</x:f>
        <x:v>1300766.949152542</x:v>
      </x:c>
      <x:c r="H16" s="9" t="n">
        <x:f>'Допущения'!C36*'Допущения'!$B$8*'Допущения'!D36*$B16*(1+'Допущения'!$B$13)^0</x:f>
        <x:v>93655.22033898304</x:v>
      </x:c>
      <x:c r="I16" s="9" t="n">
        <x:f>'Допущения'!C37*'Допущения'!$B$8*'Допущения'!D37*$B16*(1+'Допущения'!$B$13)^0</x:f>
        <x:v>86717.79661016948</x:v>
      </x:c>
      <x:c r="J16" s="7" t="n">
        <x:f>SUM(C16:I16)</x:f>
        <x:v>6732769.728813559</x:v>
      </x:c>
      <x:c r="K16" s="9" t="n">
        <x:f>J16/(1+'Допущения'!$B$9)</x:f>
        <x:v>6412161.646489103</x:v>
      </x:c>
      <x:c r="L16" s="9" t="n">
        <x:f>C16/(1+'Допущения'!$B$9)*'Допущения'!E31+'Допущения'!C31*'Допущения'!$B$8*$B16*'Допущения'!F31*(1+'Допущения'!$B$14)^0+D16/(1+'Допущения'!$B$9)*'Допущения'!E32+'Допущения'!C32*'Допущения'!$B$8*$B16*'Допущения'!F32*(1+'Допущения'!$B$14)^0+E16/(1+'Допущения'!$B$9)*'Допущения'!E33+'Допущения'!C33*'Допущения'!$B$8*$B16*'Допущения'!F33*(1+'Допущения'!$B$14)^0+F16/(1+'Допущения'!$B$9)*'Допущения'!E34+'Допущения'!C34*'Допущения'!$B$8*$B16*'Допущения'!F34*(1+'Допущения'!$B$14)^0+G16/(1+'Допущения'!$B$9)*'Допущения'!E35+'Допущения'!C35*'Допущения'!$B$8*$B16*'Допущения'!F35*(1+'Допущения'!$B$14)^0+H16/(1+'Допущения'!$B$9)*'Допущения'!E36+'Допущения'!C36*'Допущения'!$B$8*$B16*'Допущения'!F36*(1+'Допущения'!$B$14)^0+I16/(1+'Допущения'!$B$9)*'Допущения'!E37+'Допущения'!C37*'Допущения'!$B$8*$B16*'Допущения'!F37*(1+'Допущения'!$B$14)^0</x:f>
        <x:v>859290.7760290555</x:v>
      </x:c>
      <x:c r="M16" s="9" t="n">
        <x:f>J16*'Допущения'!$B$11</x:f>
        <x:v>134655.39457627118</x:v>
      </x:c>
      <x:c r="N16" s="9" t="n">
        <x:f>'Инвестиции'!$C$35*(1+'Допущения'!$B$14)^0</x:f>
        <x:v>1780676.3013333334</x:v>
      </x:c>
      <x:c r="O16" s="9" t="n">
        <x:f>K16*'Допущения'!$B$10</x:f>
        <x:v>384729.6987893462</x:v>
      </x:c>
      <x:c r="P16" s="9" t="n">
        <x:f>K16*'Допущения'!$B$12</x:f>
        <x:v>128243.23292978207</x:v>
      </x:c>
      <x:c r="Q16" s="7" t="n">
        <x:f>K16-L16-M16-N16</x:f>
        <x:v>3637539.174550444</x:v>
      </x:c>
      <x:c r="R16" s="7" t="n">
        <x:f>Q16-O16-P16</x:f>
        <x:v>3124566.242831316</x:v>
      </x:c>
      <x:c r="S16" s="7" t="n">
        <x:f>S15+R16</x:f>
        <x:v>-15102482.83400404</x:v>
      </x:c>
      <x:c r="T16" s="7" t="n">
        <x:f>IF(S16&gt;=0,A16,999)</x:f>
        <x:v>999</x:v>
      </x:c>
      <x:c r="U16" s="22" t="n">
        <x:f>'Допущения'!C31*'Допущения'!$B$8*B16*'Допущения'!$B$17/'Допущения'!$B$18/'Допущения'!$B$16</x:f>
        <x:v>36.78936825885979</x:v>
      </x:c>
      <x:c r="V16" s="7"/>
      <x:c r="W16" s="7"/>
    </x:row>
    <x:row r="17" ht="23" customHeight="1">
      <x:c r="A17" s="1" t="n">
        <x:v>11</x:v>
      </x:c>
      <x:c r="B17" s="17" t="n">
        <x:f>'Допущения'!C52*'Допущения'!D52</x:f>
        <x:v>1.2203389830508473</x:v>
      </x:c>
      <x:c r="C17" s="9" t="n">
        <x:f>'Допущения'!C31*'Допущения'!$B$8*'Допущения'!D31*$B17*(1+'Допущения'!$B$13)^0</x:f>
        <x:v>3800501.694915254</x:v>
      </x:c>
      <x:c r="D17" s="9" t="n">
        <x:f>'Допущения'!C32*'Допущения'!$B$8*'Допущения'!D32*$B17*(1+'Допущения'!$B$13)^0</x:f>
        <x:v>260605.83050847458</x:v>
      </x:c>
      <x:c r="E17" s="9" t="n">
        <x:f>'Допущения'!C33*'Допущения'!$B$8*'Допущения'!D33*$B17*(1+'Допущения'!$B$13)^0</x:f>
        <x:v>608080.2711864407</x:v>
      </x:c>
      <x:c r="F17" s="9" t="n">
        <x:f>'Допущения'!C34*'Допущения'!$B$8*'Допущения'!D34*$B17*(1+'Допущения'!$B$13)^0</x:f>
        <x:v>810773.6949152541</x:v>
      </x:c>
      <x:c r="G17" s="9" t="n">
        <x:f>'Допущения'!C35*'Допущения'!$B$8*'Допущения'!D35*$B17*(1+'Допущения'!$B$13)^0</x:f>
        <x:v>1357322.033898305</x:v>
      </x:c>
      <x:c r="H17" s="9" t="n">
        <x:f>'Допущения'!C36*'Допущения'!$B$8*'Допущения'!D36*$B17*(1+'Допущения'!$B$13)^0</x:f>
        <x:v>97727.18644067795</x:v>
      </x:c>
      <x:c r="I17" s="9" t="n">
        <x:f>'Допущения'!C37*'Допущения'!$B$8*'Допущения'!D37*$B17*(1+'Допущения'!$B$13)^0</x:f>
        <x:v>90488.13559322033</x:v>
      </x:c>
      <x:c r="J17" s="7" t="n">
        <x:f>SUM(C17:I17)</x:f>
        <x:v>7025498.847457627</x:v>
      </x:c>
      <x:c r="K17" s="9" t="n">
        <x:f>J17/(1+'Допущения'!$B$9)</x:f>
        <x:v>6690951.283292978</x:v>
      </x:c>
      <x:c r="L17" s="9" t="n">
        <x:f>C17/(1+'Допущения'!$B$9)*'Допущения'!E31+'Допущения'!C31*'Допущения'!$B$8*$B17*'Допущения'!F31*(1+'Допущения'!$B$14)^0+D17/(1+'Допущения'!$B$9)*'Допущения'!E32+'Допущения'!C32*'Допущения'!$B$8*$B17*'Допущения'!F32*(1+'Допущения'!$B$14)^0+E17/(1+'Допущения'!$B$9)*'Допущения'!E33+'Допущения'!C33*'Допущения'!$B$8*$B17*'Допущения'!F33*(1+'Допущения'!$B$14)^0+F17/(1+'Допущения'!$B$9)*'Допущения'!E34+'Допущения'!C34*'Допущения'!$B$8*$B17*'Допущения'!F34*(1+'Допущения'!$B$14)^0+G17/(1+'Допущения'!$B$9)*'Допущения'!E35+'Допущения'!C35*'Допущения'!$B$8*$B17*'Допущения'!F35*(1+'Допущения'!$B$14)^0+H17/(1+'Допущения'!$B$9)*'Допущения'!E36+'Допущения'!C36*'Допущения'!$B$8*$B17*'Допущения'!F36*(1+'Допущения'!$B$14)^0+I17/(1+'Допущения'!$B$9)*'Допущения'!E37+'Допущения'!C37*'Допущения'!$B$8*$B17*'Допущения'!F37*(1+'Допущения'!$B$14)^0</x:f>
        <x:v>896651.2445520579</x:v>
      </x:c>
      <x:c r="M17" s="9" t="n">
        <x:f>J17*'Допущения'!$B$11</x:f>
        <x:v>140509.97694915254</x:v>
      </x:c>
      <x:c r="N17" s="9" t="n">
        <x:f>'Инвестиции'!$C$35*(1+'Допущения'!$B$14)^0</x:f>
        <x:v>1780676.3013333334</x:v>
      </x:c>
      <x:c r="O17" s="9" t="n">
        <x:f>K17*'Допущения'!$B$10</x:f>
        <x:v>401457.07699757867</x:v>
      </x:c>
      <x:c r="P17" s="9" t="n">
        <x:f>K17*'Допущения'!$B$12</x:f>
        <x:v>133819.02566585958</x:v>
      </x:c>
      <x:c r="Q17" s="7" t="n">
        <x:f>K17-L17-M17-N17</x:f>
        <x:v>3873113.760458434</x:v>
      </x:c>
      <x:c r="R17" s="7" t="n">
        <x:f>Q17-O17-P17</x:f>
        <x:v>3337837.6577949957</x:v>
      </x:c>
      <x:c r="S17" s="7" t="n">
        <x:f>S16+R17</x:f>
        <x:v>-11764645.176209046</x:v>
      </x:c>
      <x:c r="T17" s="7" t="n">
        <x:f>IF(S17&gt;=0,A17,999)</x:f>
        <x:v>999</x:v>
      </x:c>
      <x:c r="U17" s="22" t="n">
        <x:f>'Допущения'!C31*'Допущения'!$B$8*B17*'Допущения'!$B$17/'Допущения'!$B$18/'Допущения'!$B$16</x:f>
        <x:v>38.388906009245</x:v>
      </x:c>
      <x:c r="V17" s="7"/>
      <x:c r="W17" s="7"/>
    </x:row>
    <x:row r="18" ht="23" customHeight="1">
      <x:c r="A18" s="1" t="n">
        <x:v>12</x:v>
      </x:c>
      <x:c r="B18" s="17" t="n">
        <x:f>'Допущения'!C53*'Допущения'!D53</x:f>
        <x:v>1.271186440677966</x:v>
      </x:c>
      <x:c r="C18" s="9" t="n">
        <x:f>'Допущения'!C31*'Допущения'!$B$8*'Допущения'!D31*$B18*(1+'Допущения'!$B$13)^0</x:f>
        <x:v>3958855.93220339</x:v>
      </x:c>
      <x:c r="D18" s="9" t="n">
        <x:f>'Допущения'!C32*'Допущения'!$B$8*'Допущения'!D32*$B18*(1+'Допущения'!$B$13)^0</x:f>
        <x:v>271464.406779661</x:v>
      </x:c>
      <x:c r="E18" s="9" t="n">
        <x:f>'Допущения'!C33*'Допущения'!$B$8*'Допущения'!D33*$B18*(1+'Допущения'!$B$13)^0</x:f>
        <x:v>633416.9491525424</x:v>
      </x:c>
      <x:c r="F18" s="9" t="n">
        <x:f>'Допущения'!C34*'Допущения'!$B$8*'Допущения'!D34*$B18*(1+'Допущения'!$B$13)^0</x:f>
        <x:v>844555.9322033898</x:v>
      </x:c>
      <x:c r="G18" s="9" t="n">
        <x:f>'Допущения'!C35*'Допущения'!$B$8*'Допущения'!D35*$B18*(1+'Допущения'!$B$13)^0</x:f>
        <x:v>1413877.1186440678</x:v>
      </x:c>
      <x:c r="H18" s="9" t="n">
        <x:f>'Допущения'!C36*'Допущения'!$B$8*'Допущения'!D36*$B18*(1+'Допущения'!$B$13)^0</x:f>
        <x:v>101799.15254237287</x:v>
      </x:c>
      <x:c r="I18" s="9" t="n">
        <x:f>'Допущения'!C37*'Допущения'!$B$8*'Допущения'!D37*$B18*(1+'Допущения'!$B$13)^0</x:f>
        <x:v>94258.47457627118</x:v>
      </x:c>
      <x:c r="J18" s="7" t="n">
        <x:f>SUM(C18:I18)</x:f>
        <x:v>7318227.966101696</x:v>
      </x:c>
      <x:c r="K18" s="9" t="n">
        <x:f>J18/(1+'Допущения'!$B$9)</x:f>
        <x:v>6969740.920096853</x:v>
      </x:c>
      <x:c r="L18" s="9" t="n">
        <x:f>C18/(1+'Допущения'!$B$9)*'Допущения'!E31+'Допущения'!C31*'Допущения'!$B$8*$B18*'Допущения'!F31*(1+'Допущения'!$B$14)^0+D18/(1+'Допущения'!$B$9)*'Допущения'!E32+'Допущения'!C32*'Допущения'!$B$8*$B18*'Допущения'!F32*(1+'Допущения'!$B$14)^0+E18/(1+'Допущения'!$B$9)*'Допущения'!E33+'Допущения'!C33*'Допущения'!$B$8*$B18*'Допущения'!F33*(1+'Допущения'!$B$14)^0+F18/(1+'Допущения'!$B$9)*'Допущения'!E34+'Допущения'!C34*'Допущения'!$B$8*$B18*'Допущения'!F34*(1+'Допущения'!$B$14)^0+G18/(1+'Допущения'!$B$9)*'Допущения'!E35+'Допущения'!C35*'Допущения'!$B$8*$B18*'Допущения'!F35*(1+'Допущения'!$B$14)^0+H18/(1+'Допущения'!$B$9)*'Допущения'!E36+'Допущения'!C36*'Допущения'!$B$8*$B18*'Допущения'!F36*(1+'Допущения'!$B$14)^0+I18/(1+'Допущения'!$B$9)*'Допущения'!E37+'Допущения'!C37*'Допущения'!$B$8*$B18*'Допущения'!F37*(1+'Допущения'!$B$14)^0</x:f>
        <x:v>934011.7130750605</x:v>
      </x:c>
      <x:c r="M18" s="9" t="n">
        <x:f>J18*'Допущения'!$B$11</x:f>
        <x:v>146364.55932203392</x:v>
      </x:c>
      <x:c r="N18" s="9" t="n">
        <x:f>'Инвестиции'!$C$35*(1+'Допущения'!$B$14)^0</x:f>
        <x:v>1780676.3013333334</x:v>
      </x:c>
      <x:c r="O18" s="9" t="n">
        <x:f>K18*'Допущения'!$B$10</x:f>
        <x:v>418184.45520581113</x:v>
      </x:c>
      <x:c r="P18" s="9" t="n">
        <x:f>K18*'Допущения'!$B$12</x:f>
        <x:v>139394.81840193705</x:v>
      </x:c>
      <x:c r="Q18" s="7" t="n">
        <x:f>K18-L18-M18-N18</x:f>
        <x:v>4108688.346366425</x:v>
      </x:c>
      <x:c r="R18" s="7" t="n">
        <x:f>Q18-O18-P18</x:f>
        <x:v>3551109.072758677</x:v>
      </x:c>
      <x:c r="S18" s="7" t="n">
        <x:f>S17+R18</x:f>
        <x:v>-8213536.103450369</x:v>
      </x:c>
      <x:c r="T18" s="7" t="n">
        <x:f>IF(S18&gt;=0,A18,999)</x:f>
        <x:v>999</x:v>
      </x:c>
      <x:c r="U18" s="22" t="n">
        <x:f>'Допущения'!C31*'Допущения'!$B$8*B18*'Допущения'!$B$17/'Допущения'!$B$18/'Допущения'!$B$16</x:f>
        <x:v>39.9884437596302</x:v>
      </x:c>
      <x:c r="V18" s="7"/>
      <x:c r="W18" s="7"/>
    </x:row>
    <x:row r="19" ht="23" customHeight="1">
      <x:c r="A19" s="1" t="n">
        <x:v>13</x:v>
      </x:c>
      <x:c r="B19" s="17" t="n">
        <x:f>'Допущения'!C42*'Допущения'!D53</x:f>
        <x:v>1.1186440677966103</x:v>
      </x:c>
      <x:c r="C19" s="9" t="n">
        <x:f>'Допущения'!C31*'Допущения'!$B$8*'Допущения'!D31*$B19*(1+'Допущения'!$B$13)^1</x:f>
        <x:v>3588307.0169491535</x:v>
      </x:c>
      <x:c r="D19" s="9" t="n">
        <x:f>'Допущения'!C32*'Допущения'!$B$8*'Допущения'!D32*$B19*(1+'Допущения'!$B$13)^1</x:f>
        <x:v>246055.33830508482</x:v>
      </x:c>
      <x:c r="E19" s="9" t="n">
        <x:f>'Допущения'!C33*'Допущения'!$B$8*'Допущения'!D33*$B19*(1+'Допущения'!$B$13)^1</x:f>
        <x:v>574129.1227118645</x:v>
      </x:c>
      <x:c r="F19" s="9" t="n">
        <x:f>'Допущения'!C34*'Допущения'!$B$8*'Допущения'!D34*$B19*(1+'Допущения'!$B$13)^1</x:f>
        <x:v>765505.4969491527</x:v>
      </x:c>
      <x:c r="G19" s="9" t="n">
        <x:f>'Допущения'!C35*'Допущения'!$B$8*'Допущения'!D35*$B19*(1+'Допущения'!$B$13)^1</x:f>
        <x:v>1281538.2203389832</x:v>
      </x:c>
      <x:c r="H19" s="9" t="n">
        <x:f>'Допущения'!C36*'Допущения'!$B$8*'Допущения'!D36*$B19*(1+'Допущения'!$B$13)^1</x:f>
        <x:v>92270.75186440679</x:v>
      </x:c>
      <x:c r="I19" s="9" t="n">
        <x:f>'Допущения'!C37*'Допущения'!$B$8*'Допущения'!D37*$B19*(1+'Допущения'!$B$13)^1</x:f>
        <x:v>85435.88135593222</x:v>
      </x:c>
      <x:c r="J19" s="7" t="n">
        <x:f>SUM(C19:I19)</x:f>
        <x:v>6633241.828474578</x:v>
      </x:c>
      <x:c r="K19" s="9" t="n">
        <x:f>J19/(1+'Допущения'!$B$9)</x:f>
        <x:v>6317373.169975788</x:v>
      </x:c>
      <x:c r="L19" s="9" t="n">
        <x:f>C19/(1+'Допущения'!$B$9)*'Допущения'!E31+'Допущения'!C31*'Допущения'!$B$8*$B19*'Допущения'!F31*(1+'Допущения'!$B$14)^1+D19/(1+'Допущения'!$B$9)*'Допущения'!E32+'Допущения'!C32*'Допущения'!$B$8*$B19*'Допущения'!F32*(1+'Допущения'!$B$14)^1+E19/(1+'Допущения'!$B$9)*'Допущения'!E33+'Допущения'!C33*'Допущения'!$B$8*$B19*'Допущения'!F33*(1+'Допущения'!$B$14)^1+F19/(1+'Допущения'!$B$9)*'Допущения'!E34+'Допущения'!C34*'Допущения'!$B$8*$B19*'Допущения'!F34*(1+'Допущения'!$B$14)^1+G19/(1+'Допущения'!$B$9)*'Допущения'!E35+'Допущения'!C35*'Допущения'!$B$8*$B19*'Допущения'!F35*(1+'Допущения'!$B$14)^1+H19/(1+'Допущения'!$B$9)*'Допущения'!E36+'Допущения'!C36*'Допущения'!$B$8*$B19*'Допущения'!F36*(1+'Допущения'!$B$14)^1+I19/(1+'Допущения'!$B$9)*'Допущения'!E37+'Допущения'!C37*'Допущения'!$B$8*$B19*'Допущения'!F37*(1+'Допущения'!$B$14)^1</x:f>
        <x:v>847002.9540193706</x:v>
      </x:c>
      <x:c r="M19" s="9" t="n">
        <x:f>J19*'Допущения'!$B$11</x:f>
        <x:v>132664.83656949157</x:v>
      </x:c>
      <x:c r="N19" s="9" t="n">
        <x:f>'Инвестиции'!$C$35*(1+'Допущения'!$B$14)^1</x:f>
        <x:v>1869710.1164000002</x:v>
      </x:c>
      <x:c r="O19" s="9" t="n">
        <x:f>K19*'Допущения'!$B$10</x:f>
        <x:v>379042.3901985473</x:v>
      </x:c>
      <x:c r="P19" s="9" t="n">
        <x:f>K19*'Допущения'!$B$12</x:f>
        <x:v>126347.46339951576</x:v>
      </x:c>
      <x:c r="Q19" s="7" t="n">
        <x:f>K19-L19-M19-N19</x:f>
        <x:v>3467995.262986926</x:v>
      </x:c>
      <x:c r="R19" s="7" t="n">
        <x:f>Q19-O19-P19</x:f>
        <x:v>2962605.4093888626</x:v>
      </x:c>
      <x:c r="S19" s="7" t="n">
        <x:f>S18+R19</x:f>
        <x:v>-5250930.694061507</x:v>
      </x:c>
      <x:c r="T19" s="7" t="n">
        <x:f>IF(S19&gt;=0,A19,999)</x:f>
        <x:v>999</x:v>
      </x:c>
      <x:c r="U19" s="22" t="n">
        <x:f>'Допущения'!C31*'Допущения'!$B$8*B19*'Допущения'!$B$17/'Допущения'!$B$18/'Допущения'!$B$16</x:f>
        <x:v>35.189830508474586</x:v>
      </x:c>
      <x:c r="V19" s="7"/>
      <x:c r="W19" s="7"/>
    </x:row>
    <x:row r="20" ht="23" customHeight="1">
      <x:c r="A20" s="1" t="n">
        <x:v>14</x:v>
      </x:c>
      <x:c r="B20" s="17" t="n">
        <x:f>'Допущения'!C43*'Допущения'!D53</x:f>
        <x:v>1.0677966101694916</x:v>
      </x:c>
      <x:c r="C20" s="9" t="n">
        <x:f>'Допущения'!C31*'Допущения'!$B$8*'Допущения'!D31*$B20*(1+'Допущения'!$B$13)^1</x:f>
        <x:v>3425202.1525423736</x:v>
      </x:c>
      <x:c r="D20" s="9" t="n">
        <x:f>'Допущения'!C32*'Допущения'!$B$8*'Допущения'!D32*$B20*(1+'Допущения'!$B$13)^1</x:f>
        <x:v>234871.00474576277</x:v>
      </x:c>
      <x:c r="E20" s="9" t="n">
        <x:f>'Допущения'!C33*'Допущения'!$B$8*'Допущения'!D33*$B20*(1+'Допущения'!$B$13)^1</x:f>
        <x:v>548032.3444067797</x:v>
      </x:c>
      <x:c r="F20" s="9" t="n">
        <x:f>'Допущения'!C34*'Допущения'!$B$8*'Допущения'!D34*$B20*(1+'Допущения'!$B$13)^1</x:f>
        <x:v>730709.792542373</x:v>
      </x:c>
      <x:c r="G20" s="9" t="n">
        <x:f>'Допущения'!C35*'Допущения'!$B$8*'Допущения'!D35*$B20*(1+'Допущения'!$B$13)^1</x:f>
        <x:v>1223286.4830508477</x:v>
      </x:c>
      <x:c r="H20" s="9" t="n">
        <x:f>'Допущения'!C36*'Допущения'!$B$8*'Допущения'!D36*$B20*(1+'Допущения'!$B$13)^1</x:f>
        <x:v>88076.62677966102</x:v>
      </x:c>
      <x:c r="I20" s="9" t="n">
        <x:f>'Допущения'!C37*'Допущения'!$B$8*'Допущения'!D37*$B20*(1+'Допущения'!$B$13)^1</x:f>
        <x:v>81552.43220338984</x:v>
      </x:c>
      <x:c r="J20" s="7" t="n">
        <x:f>SUM(C20:I20)</x:f>
        <x:v>6331730.836271186</x:v>
      </x:c>
      <x:c r="K20" s="9" t="n">
        <x:f>J20/(1+'Допущения'!$B$9)</x:f>
        <x:v>6030219.844067796</x:v>
      </x:c>
      <x:c r="L20" s="9" t="n">
        <x:f>C20/(1+'Допущения'!$B$9)*'Допущения'!E31+'Допущения'!C31*'Допущения'!$B$8*$B20*'Допущения'!F31*(1+'Допущения'!$B$14)^1+D20/(1+'Допущения'!$B$9)*'Допущения'!E32+'Допущения'!C32*'Допущения'!$B$8*$B20*'Допущения'!F32*(1+'Допущения'!$B$14)^1+E20/(1+'Допущения'!$B$9)*'Допущения'!E33+'Допущения'!C33*'Допущения'!$B$8*$B20*'Допущения'!F33*(1+'Допущения'!$B$14)^1+F20/(1+'Допущения'!$B$9)*'Допущения'!E34+'Допущения'!C34*'Допущения'!$B$8*$B20*'Допущения'!F34*(1+'Допущения'!$B$14)^1+G20/(1+'Допущения'!$B$9)*'Допущения'!E35+'Допущения'!C35*'Допущения'!$B$8*$B20*'Допущения'!F35*(1+'Допущения'!$B$14)^1+H20/(1+'Допущения'!$B$9)*'Допущения'!E36+'Допущения'!C36*'Допущения'!$B$8*$B20*'Допущения'!F36*(1+'Допущения'!$B$14)^1+I20/(1+'Допущения'!$B$9)*'Допущения'!E37+'Допущения'!C37*'Допущения'!$B$8*$B20*'Допущения'!F37*(1+'Допущения'!$B$14)^1</x:f>
        <x:v>808502.8197457627</x:v>
      </x:c>
      <x:c r="M20" s="9" t="n">
        <x:f>J20*'Допущения'!$B$11</x:f>
        <x:v>126634.61672542374</x:v>
      </x:c>
      <x:c r="N20" s="9" t="n">
        <x:f>'Инвестиции'!$C$35*(1+'Допущения'!$B$14)^1</x:f>
        <x:v>1869710.1164000002</x:v>
      </x:c>
      <x:c r="O20" s="9" t="n">
        <x:f>K20*'Допущения'!$B$10</x:f>
        <x:v>361813.19064406777</x:v>
      </x:c>
      <x:c r="P20" s="9" t="n">
        <x:f>K20*'Допущения'!$B$12</x:f>
        <x:v>120604.39688135592</x:v>
      </x:c>
      <x:c r="Q20" s="7" t="n">
        <x:f>K20-L20-M20-N20</x:f>
        <x:v>3225372.2911966094</x:v>
      </x:c>
      <x:c r="R20" s="7" t="n">
        <x:f>Q20-O20-P20</x:f>
        <x:v>2742954.7036711858</x:v>
      </x:c>
      <x:c r="S20" s="7" t="n">
        <x:f>S19+R20</x:f>
        <x:v>-2507975.990390321</x:v>
      </x:c>
      <x:c r="T20" s="7" t="n">
        <x:f>IF(S20&gt;=0,A20,999)</x:f>
        <x:v>999</x:v>
      </x:c>
      <x:c r="U20" s="22" t="n">
        <x:f>'Допущения'!C31*'Допущения'!$B$8*B20*'Допущения'!$B$17/'Допущения'!$B$18/'Допущения'!$B$16</x:f>
        <x:v>33.59029275808938</x:v>
      </x:c>
      <x:c r="V20" s="7"/>
      <x:c r="W20" s="7"/>
    </x:row>
    <x:row r="21" ht="23" customHeight="1">
      <x:c r="A21" s="1" t="n">
        <x:v>15</x:v>
      </x:c>
      <x:c r="B21" s="17" t="n">
        <x:f>'Допущения'!C44*'Допущения'!D53</x:f>
        <x:v>1.0169491525423728</x:v>
      </x:c>
      <x:c r="C21" s="9" t="n">
        <x:f>'Допущения'!C31*'Допущения'!$B$8*'Допущения'!D31*$B21*(1+'Допущения'!$B$13)^1</x:f>
        <x:v>3262097.2881355938</x:v>
      </x:c>
      <x:c r="D21" s="9" t="n">
        <x:f>'Допущения'!C32*'Допущения'!$B$8*'Допущения'!D32*$B21*(1+'Допущения'!$B$13)^1</x:f>
        <x:v>223686.6711864407</x:v>
      </x:c>
      <x:c r="E21" s="9" t="n">
        <x:f>'Допущения'!C33*'Допущения'!$B$8*'Допущения'!D33*$B21*(1+'Допущения'!$B$13)^1</x:f>
        <x:v>521935.566101695</x:v>
      </x:c>
      <x:c r="F21" s="9" t="n">
        <x:f>'Допущения'!C34*'Допущения'!$B$8*'Допущения'!D34*$B21*(1+'Допущения'!$B$13)^1</x:f>
        <x:v>695914.0881355932</x:v>
      </x:c>
      <x:c r="G21" s="9" t="n">
        <x:f>'Допущения'!C35*'Допущения'!$B$8*'Допущения'!D35*$B21*(1+'Допущения'!$B$13)^1</x:f>
        <x:v>1165034.7457627119</x:v>
      </x:c>
      <x:c r="H21" s="9" t="n">
        <x:f>'Допущения'!C36*'Допущения'!$B$8*'Допущения'!D36*$B21*(1+'Допущения'!$B$13)^1</x:f>
        <x:v>83882.50169491526</x:v>
      </x:c>
      <x:c r="I21" s="9" t="n">
        <x:f>'Допущения'!C37*'Допущения'!$B$8*'Допущения'!D37*$B21*(1+'Допущения'!$B$13)^1</x:f>
        <x:v>77668.98305084746</x:v>
      </x:c>
      <x:c r="J21" s="7" t="n">
        <x:f>SUM(C21:I21)</x:f>
        <x:v>6030219.844067796</x:v>
      </x:c>
      <x:c r="K21" s="9" t="n">
        <x:f>J21/(1+'Допущения'!$B$9)</x:f>
        <x:v>5743066.518159806</x:v>
      </x:c>
      <x:c r="L21" s="9" t="n">
        <x:f>C21/(1+'Допущения'!$B$9)*'Допущения'!E31+'Допущения'!C31*'Допущения'!$B$8*$B21*'Допущения'!F31*(1+'Допущения'!$B$14)^1+D21/(1+'Допущения'!$B$9)*'Допущения'!E32+'Допущения'!C32*'Допущения'!$B$8*$B21*'Допущения'!F32*(1+'Допущения'!$B$14)^1+E21/(1+'Допущения'!$B$9)*'Допущения'!E33+'Допущения'!C33*'Допущения'!$B$8*$B21*'Допущения'!F33*(1+'Допущения'!$B$14)^1+F21/(1+'Допущения'!$B$9)*'Допущения'!E34+'Допущения'!C34*'Допущения'!$B$8*$B21*'Допущения'!F34*(1+'Допущения'!$B$14)^1+G21/(1+'Допущения'!$B$9)*'Допущения'!E35+'Допущения'!C35*'Допущения'!$B$8*$B21*'Допущения'!F35*(1+'Допущения'!$B$14)^1+H21/(1+'Допущения'!$B$9)*'Допущения'!E36+'Допущения'!C36*'Допущения'!$B$8*$B21*'Допущения'!F36*(1+'Допущения'!$B$14)^1+I21/(1+'Допущения'!$B$9)*'Допущения'!E37+'Допущения'!C37*'Допущения'!$B$8*$B21*'Допущения'!F37*(1+'Допущения'!$B$14)^1</x:f>
        <x:v>770002.685472155</x:v>
      </x:c>
      <x:c r="M21" s="9" t="n">
        <x:f>J21*'Допущения'!$B$11</x:f>
        <x:v>120604.39688135592</x:v>
      </x:c>
      <x:c r="N21" s="9" t="n">
        <x:f>'Инвестиции'!$C$35*(1+'Допущения'!$B$14)^1</x:f>
        <x:v>1869710.1164000002</x:v>
      </x:c>
      <x:c r="O21" s="9" t="n">
        <x:f>K21*'Допущения'!$B$10</x:f>
        <x:v>344583.9910895883</x:v>
      </x:c>
      <x:c r="P21" s="9" t="n">
        <x:f>K21*'Допущения'!$B$12</x:f>
        <x:v>114861.33036319612</x:v>
      </x:c>
      <x:c r="Q21" s="7" t="n">
        <x:f>K21-L21-M21-N21</x:f>
        <x:v>2982749.3194062947</x:v>
      </x:c>
      <x:c r="R21" s="7" t="n">
        <x:f>Q21-O21-P21</x:f>
        <x:v>2523303.99795351</x:v>
      </x:c>
      <x:c r="S21" s="7" t="n">
        <x:f>S20+R21</x:f>
        <x:v>15328.007563189138</x:v>
      </x:c>
      <x:c r="T21" s="7" t="n">
        <x:f>IF(S21&gt;=0,A21,999)</x:f>
        <x:v>15</x:v>
      </x:c>
      <x:c r="U21" s="22" t="n">
        <x:f>'Допущения'!C31*'Допущения'!$B$8*B21*'Допущения'!$B$17/'Допущения'!$B$18/'Допущения'!$B$16</x:f>
        <x:v>31.990755007704163</x:v>
      </x:c>
      <x:c r="V21" s="7"/>
      <x:c r="W21" s="7"/>
    </x:row>
    <x:row r="22" ht="23" customHeight="1">
      <x:c r="A22" s="1" t="n">
        <x:v>16</x:v>
      </x:c>
      <x:c r="B22" s="17" t="n">
        <x:f>'Допущения'!C45*'Допущения'!D53</x:f>
        <x:v>0.9152542372881356</x:v>
      </x:c>
      <x:c r="C22" s="9" t="n">
        <x:f>'Допущения'!C31*'Допущения'!$B$8*'Допущения'!D31*$B22*(1+'Допущения'!$B$13)^1</x:f>
        <x:v>2935887.5593220345</x:v>
      </x:c>
      <x:c r="D22" s="9" t="n">
        <x:f>'Допущения'!C32*'Допущения'!$B$8*'Допущения'!D32*$B22*(1+'Допущения'!$B$13)^1</x:f>
        <x:v>201318.00406779663</x:v>
      </x:c>
      <x:c r="E22" s="9" t="n">
        <x:f>'Допущения'!C33*'Допущения'!$B$8*'Допущения'!D33*$B22*(1+'Допущения'!$B$13)^1</x:f>
        <x:v>469742.0094915255</x:v>
      </x:c>
      <x:c r="F22" s="9" t="n">
        <x:f>'Допущения'!C34*'Допущения'!$B$8*'Допущения'!D34*$B22*(1+'Допущения'!$B$13)^1</x:f>
        <x:v>626322.679322034</x:v>
      </x:c>
      <x:c r="G22" s="9" t="n">
        <x:f>'Допущения'!C35*'Допущения'!$B$8*'Допущения'!D35*$B22*(1+'Допущения'!$B$13)^1</x:f>
        <x:v>1048531.2711864407</x:v>
      </x:c>
      <x:c r="H22" s="9" t="n">
        <x:f>'Допущения'!C36*'Допущения'!$B$8*'Допущения'!D36*$B22*(1+'Допущения'!$B$13)^1</x:f>
        <x:v>75494.25152542372</x:v>
      </x:c>
      <x:c r="I22" s="9" t="n">
        <x:f>'Допущения'!C37*'Допущения'!$B$8*'Допущения'!D37*$B22*(1+'Допущения'!$B$13)^1</x:f>
        <x:v>69902.08474576271</x:v>
      </x:c>
      <x:c r="J22" s="7" t="n">
        <x:f>SUM(C22:I22)</x:f>
        <x:v>5427197.859661018</x:v>
      </x:c>
      <x:c r="K22" s="9" t="n">
        <x:f>J22/(1+'Допущения'!$B$9)</x:f>
        <x:v>5168759.866343826</x:v>
      </x:c>
      <x:c r="L22" s="9" t="n">
        <x:f>C22/(1+'Допущения'!$B$9)*'Допущения'!E31+'Допущения'!C31*'Допущения'!$B$8*$B22*'Допущения'!F31*(1+'Допущения'!$B$14)^1+D22/(1+'Допущения'!$B$9)*'Допущения'!E32+'Допущения'!C32*'Допущения'!$B$8*$B22*'Допущения'!F32*(1+'Допущения'!$B$14)^1+E22/(1+'Допущения'!$B$9)*'Допущения'!E33+'Допущения'!C33*'Допущения'!$B$8*$B22*'Допущения'!F33*(1+'Допущения'!$B$14)^1+F22/(1+'Допущения'!$B$9)*'Допущения'!E34+'Допущения'!C34*'Допущения'!$B$8*$B22*'Допущения'!F34*(1+'Допущения'!$B$14)^1+G22/(1+'Допущения'!$B$9)*'Допущения'!E35+'Допущения'!C35*'Допущения'!$B$8*$B22*'Допущения'!F35*(1+'Допущения'!$B$14)^1+H22/(1+'Допущения'!$B$9)*'Допущения'!E36+'Допущения'!C36*'Допущения'!$B$8*$B22*'Допущения'!F36*(1+'Допущения'!$B$14)^1+I22/(1+'Допущения'!$B$9)*'Допущения'!E37+'Допущения'!C37*'Допущения'!$B$8*$B22*'Допущения'!F37*(1+'Допущения'!$B$14)^1</x:f>
        <x:v>693002.4169249394</x:v>
      </x:c>
      <x:c r="M22" s="9" t="n">
        <x:f>J22*'Допущения'!$B$11</x:f>
        <x:v>108543.95719322035</x:v>
      </x:c>
      <x:c r="N22" s="9" t="n">
        <x:f>'Инвестиции'!$C$35*(1+'Допущения'!$B$14)^1</x:f>
        <x:v>1869710.1164000002</x:v>
      </x:c>
      <x:c r="O22" s="9" t="n">
        <x:f>K22*'Допущения'!$B$10</x:f>
        <x:v>310125.59198062954</x:v>
      </x:c>
      <x:c r="P22" s="9" t="n">
        <x:f>K22*'Допущения'!$B$12</x:f>
        <x:v>103375.19732687653</x:v>
      </x:c>
      <x:c r="Q22" s="7" t="n">
        <x:f>K22-L22-M22-N22</x:f>
        <x:v>2497503.3758256664</x:v>
      </x:c>
      <x:c r="R22" s="7" t="n">
        <x:f>Q22-O22-P22</x:f>
        <x:v>2084002.5865181603</x:v>
      </x:c>
      <x:c r="S22" s="7" t="n">
        <x:f>S21+R22</x:f>
        <x:v>2099330.5940813497</x:v>
      </x:c>
      <x:c r="T22" s="7" t="n">
        <x:f>IF(S22&gt;=0,A22,999)</x:f>
        <x:v>16</x:v>
      </x:c>
      <x:c r="U22" s="22" t="n">
        <x:f>'Допущения'!C31*'Допущения'!$B$8*B22*'Допущения'!$B$17/'Допущения'!$B$18/'Допущения'!$B$16</x:f>
        <x:v>28.791679506933747</x:v>
      </x:c>
      <x:c r="V22" s="7"/>
      <x:c r="W22" s="7"/>
    </x:row>
    <x:row r="23" ht="23" customHeight="1">
      <x:c r="A23" s="1" t="n">
        <x:v>17</x:v>
      </x:c>
      <x:c r="B23" s="17" t="n">
        <x:f>'Допущения'!C46*'Допущения'!D53</x:f>
        <x:v>0.8644067796610169</x:v>
      </x:c>
      <x:c r="C23" s="9" t="n">
        <x:f>'Допущения'!C31*'Допущения'!$B$8*'Допущения'!D31*$B23*(1+'Допущения'!$B$13)^1</x:f>
        <x:v>2772782.6949152546</x:v>
      </x:c>
      <x:c r="D23" s="9" t="n">
        <x:f>'Допущения'!C32*'Допущения'!$B$8*'Допущения'!D32*$B23*(1+'Допущения'!$B$13)^1</x:f>
        <x:v>190133.67050847458</x:v>
      </x:c>
      <x:c r="E23" s="9" t="n">
        <x:f>'Допущения'!C33*'Допущения'!$B$8*'Допущения'!D33*$B23*(1+'Допущения'!$B$13)^1</x:f>
        <x:v>443645.2311864407</x:v>
      </x:c>
      <x:c r="F23" s="9" t="n">
        <x:f>'Допущения'!C34*'Допущения'!$B$8*'Допущения'!D34*$B23*(1+'Допущения'!$B$13)^1</x:f>
        <x:v>591526.9749152542</x:v>
      </x:c>
      <x:c r="G23" s="9" t="n">
        <x:f>'Допущения'!C35*'Допущения'!$B$8*'Допущения'!D35*$B23*(1+'Допущения'!$B$13)^1</x:f>
        <x:v>990279.533898305</x:v>
      </x:c>
      <x:c r="H23" s="9" t="n">
        <x:f>'Допущения'!C36*'Допущения'!$B$8*'Допущения'!D36*$B23*(1+'Допущения'!$B$13)^1</x:f>
        <x:v>71300.12644067795</x:v>
      </x:c>
      <x:c r="I23" s="9" t="n">
        <x:f>'Допущения'!C37*'Допущения'!$B$8*'Допущения'!D37*$B23*(1+'Допущения'!$B$13)^1</x:f>
        <x:v>66018.63559322033</x:v>
      </x:c>
      <x:c r="J23" s="7" t="n">
        <x:f>SUM(C23:I23)</x:f>
        <x:v>5125686.867457627</x:v>
      </x:c>
      <x:c r="K23" s="9" t="n">
        <x:f>J23/(1+'Допущения'!$B$9)</x:f>
        <x:v>4881606.540435836</x:v>
      </x:c>
      <x:c r="L23" s="9" t="n">
        <x:f>C23/(1+'Допущения'!$B$9)*'Допущения'!E31+'Допущения'!C31*'Допущения'!$B$8*$B23*'Допущения'!F31*(1+'Допущения'!$B$14)^1+D23/(1+'Допущения'!$B$9)*'Допущения'!E32+'Допущения'!C32*'Допущения'!$B$8*$B23*'Допущения'!F32*(1+'Допущения'!$B$14)^1+E23/(1+'Допущения'!$B$9)*'Допущения'!E33+'Допущения'!C33*'Допущения'!$B$8*$B23*'Допущения'!F33*(1+'Допущения'!$B$14)^1+F23/(1+'Допущения'!$B$9)*'Допущения'!E34+'Допущения'!C34*'Допущения'!$B$8*$B23*'Допущения'!F34*(1+'Допущения'!$B$14)^1+G23/(1+'Допущения'!$B$9)*'Допущения'!E35+'Допущения'!C35*'Допущения'!$B$8*$B23*'Допущения'!F35*(1+'Допущения'!$B$14)^1+H23/(1+'Допущения'!$B$9)*'Допущения'!E36+'Допущения'!C36*'Допущения'!$B$8*$B23*'Допущения'!F36*(1+'Допущения'!$B$14)^1+I23/(1+'Допущения'!$B$9)*'Допущения'!E37+'Допущения'!C37*'Допущения'!$B$8*$B23*'Допущения'!F37*(1+'Допущения'!$B$14)^1</x:f>
        <x:v>654502.2826513317</x:v>
      </x:c>
      <x:c r="M23" s="9" t="n">
        <x:f>J23*'Допущения'!$B$11</x:f>
        <x:v>102513.73734915255</x:v>
      </x:c>
      <x:c r="N23" s="9" t="n">
        <x:f>'Инвестиции'!$C$35*(1+'Допущения'!$B$14)^1</x:f>
        <x:v>1869710.1164000002</x:v>
      </x:c>
      <x:c r="O23" s="9" t="n">
        <x:f>K23*'Допущения'!$B$10</x:f>
        <x:v>292896.39242615015</x:v>
      </x:c>
      <x:c r="P23" s="9" t="n">
        <x:f>K23*'Допущения'!$B$12</x:f>
        <x:v>97632.13080871671</x:v>
      </x:c>
      <x:c r="Q23" s="7" t="n">
        <x:f>K23-L23-M23-N23</x:f>
        <x:v>2254880.4040353517</x:v>
      </x:c>
      <x:c r="R23" s="7" t="n">
        <x:f>Q23-O23-P23</x:f>
        <x:v>1864351.880800485</x:v>
      </x:c>
      <x:c r="S23" s="7" t="n">
        <x:f>S22+R23</x:f>
        <x:v>3963682.4748818344</x:v>
      </x:c>
      <x:c r="T23" s="7" t="n">
        <x:f>IF(S23&gt;=0,A23,999)</x:f>
        <x:v>17</x:v>
      </x:c>
      <x:c r="U23" s="22" t="n">
        <x:f>'Допущения'!C31*'Допущения'!$B$8*B23*'Допущения'!$B$17/'Допущения'!$B$18/'Допущения'!$B$16</x:f>
        <x:v>27.192141756548537</x:v>
      </x:c>
      <x:c r="V23" s="7"/>
      <x:c r="W23" s="7"/>
    </x:row>
    <x:row r="24" ht="23" customHeight="1">
      <x:c r="A24" s="1" t="n">
        <x:v>18</x:v>
      </x:c>
      <x:c r="B24" s="17" t="n">
        <x:f>'Допущения'!C47*'Допущения'!D53</x:f>
        <x:v>0.7118644067796609</x:v>
      </x:c>
      <x:c r="C24" s="9" t="n">
        <x:f>'Допущения'!C31*'Допущения'!$B$8*'Допущения'!D31*$B24*(1+'Допущения'!$B$13)^1</x:f>
        <x:v>2283468.1016949154</x:v>
      </x:c>
      <x:c r="D24" s="9" t="n">
        <x:f>'Допущения'!C32*'Допущения'!$B$8*'Допущения'!D32*$B24*(1+'Допущения'!$B$13)^1</x:f>
        <x:v>156580.66983050847</x:v>
      </x:c>
      <x:c r="E24" s="9" t="n">
        <x:f>'Допущения'!C33*'Допущения'!$B$8*'Допущения'!D33*$B24*(1+'Допущения'!$B$13)^1</x:f>
        <x:v>365354.8962711864</x:v>
      </x:c>
      <x:c r="F24" s="9" t="n">
        <x:f>'Допущения'!C34*'Допущения'!$B$8*'Допущения'!D34*$B24*(1+'Допущения'!$B$13)^1</x:f>
        <x:v>487139.86169491516</x:v>
      </x:c>
      <x:c r="G24" s="9" t="n">
        <x:f>'Допущения'!C35*'Допущения'!$B$8*'Допущения'!D35*$B24*(1+'Допущения'!$B$13)^1</x:f>
        <x:v>815524.3220338982</x:v>
      </x:c>
      <x:c r="H24" s="9" t="n">
        <x:f>'Допущения'!C36*'Допущения'!$B$8*'Допущения'!D36*$B24*(1+'Допущения'!$B$13)^1</x:f>
        <x:v>58717.75118644067</x:v>
      </x:c>
      <x:c r="I24" s="9" t="n">
        <x:f>'Допущения'!C37*'Допущения'!$B$8*'Допущения'!D37*$B24*(1+'Допущения'!$B$13)^1</x:f>
        <x:v>54368.28813559321</x:v>
      </x:c>
      <x:c r="J24" s="7" t="n">
        <x:f>SUM(C24:I24)</x:f>
        <x:v>4221153.890847458</x:v>
      </x:c>
      <x:c r="K24" s="9" t="n">
        <x:f>J24/(1+'Допущения'!$B$9)</x:f>
        <x:v>4020146.5627118642</x:v>
      </x:c>
      <x:c r="L24" s="9" t="n">
        <x:f>C24/(1+'Допущения'!$B$9)*'Допущения'!E31+'Допущения'!C31*'Допущения'!$B$8*$B24*'Допущения'!F31*(1+'Допущения'!$B$14)^1+D24/(1+'Допущения'!$B$9)*'Допущения'!E32+'Допущения'!C32*'Допущения'!$B$8*$B24*'Допущения'!F32*(1+'Допущения'!$B$14)^1+E24/(1+'Допущения'!$B$9)*'Допущения'!E33+'Допущения'!C33*'Допущения'!$B$8*$B24*'Допущения'!F33*(1+'Допущения'!$B$14)^1+F24/(1+'Допущения'!$B$9)*'Допущения'!E34+'Допущения'!C34*'Допущения'!$B$8*$B24*'Допущения'!F34*(1+'Допущения'!$B$14)^1+G24/(1+'Допущения'!$B$9)*'Допущения'!E35+'Допущения'!C35*'Допущения'!$B$8*$B24*'Допущения'!F35*(1+'Допущения'!$B$14)^1+H24/(1+'Допущения'!$B$9)*'Допущения'!E36+'Допущения'!C36*'Допущения'!$B$8*$B24*'Допущения'!F36*(1+'Допущения'!$B$14)^1+I24/(1+'Допущения'!$B$9)*'Допущения'!E37+'Допущения'!C37*'Допущения'!$B$8*$B24*'Допущения'!F37*(1+'Допущения'!$B$14)^1</x:f>
        <x:v>539001.8798305084</x:v>
      </x:c>
      <x:c r="M24" s="9" t="n">
        <x:f>J24*'Допущения'!$B$11</x:f>
        <x:v>84423.07781694915</x:v>
      </x:c>
      <x:c r="N24" s="9" t="n">
        <x:f>'Инвестиции'!$C$35*(1+'Допущения'!$B$14)^1</x:f>
        <x:v>1869710.1164000002</x:v>
      </x:c>
      <x:c r="O24" s="9" t="n">
        <x:f>K24*'Допущения'!$B$10</x:f>
        <x:v>241208.79376271184</x:v>
      </x:c>
      <x:c r="P24" s="9" t="n">
        <x:f>K24*'Допущения'!$B$12</x:f>
        <x:v>80402.9312542373</x:v>
      </x:c>
      <x:c r="Q24" s="7" t="n">
        <x:f>K24-L24-M24-N24</x:f>
        <x:v>1527011.4886644064</x:v>
      </x:c>
      <x:c r="R24" s="7" t="n">
        <x:f>Q24-O24-P24</x:f>
        <x:v>1205399.7636474574</x:v>
      </x:c>
      <x:c r="S24" s="7" t="n">
        <x:f>S23+R24</x:f>
        <x:v>5169082.238529292</x:v>
      </x:c>
      <x:c r="T24" s="7" t="n">
        <x:f>IF(S24&gt;=0,A24,999)</x:f>
        <x:v>18</x:v>
      </x:c>
      <x:c r="U24" s="22" t="n">
        <x:f>'Допущения'!C31*'Допущения'!$B$8*B24*'Допущения'!$B$17/'Допущения'!$B$18/'Допущения'!$B$16</x:f>
        <x:v>22.39352850539291</x:v>
      </x:c>
      <x:c r="V24" s="7"/>
      <x:c r="W24" s="7"/>
    </x:row>
    <x:row r="25" ht="23" customHeight="1">
      <x:c r="A25" s="1" t="n">
        <x:v>19</x:v>
      </x:c>
      <x:c r="B25" s="17" t="n">
        <x:f>'Допущения'!C48*'Допущения'!D53</x:f>
        <x:v>0.7627118644067796</x:v>
      </x:c>
      <x:c r="C25" s="9" t="n">
        <x:f>'Допущения'!C31*'Допущения'!$B$8*'Допущения'!D31*$B25*(1+'Допущения'!$B$13)^1</x:f>
        <x:v>2446572.9661016953</x:v>
      </x:c>
      <x:c r="D25" s="9" t="n">
        <x:f>'Допущения'!C32*'Допущения'!$B$8*'Допущения'!D32*$B25*(1+'Допущения'!$B$13)^1</x:f>
        <x:v>167765.00338983053</x:v>
      </x:c>
      <x:c r="E25" s="9" t="n">
        <x:f>'Допущения'!C33*'Допущения'!$B$8*'Допущения'!D33*$B25*(1+'Допущения'!$B$13)^1</x:f>
        <x:v>391451.6745762712</x:v>
      </x:c>
      <x:c r="F25" s="9" t="n">
        <x:f>'Допущения'!C34*'Допущения'!$B$8*'Допущения'!D34*$B25*(1+'Допущения'!$B$13)^1</x:f>
        <x:v>521935.56610169495</x:v>
      </x:c>
      <x:c r="G25" s="9" t="n">
        <x:f>'Допущения'!C35*'Допущения'!$B$8*'Допущения'!D35*$B25*(1+'Допущения'!$B$13)^1</x:f>
        <x:v>873776.0593220339</x:v>
      </x:c>
      <x:c r="H25" s="9" t="n">
        <x:f>'Допущения'!C36*'Допущения'!$B$8*'Допущения'!D36*$B25*(1+'Допущения'!$B$13)^1</x:f>
        <x:v>62911.87627118644</x:v>
      </x:c>
      <x:c r="I25" s="9" t="n">
        <x:f>'Допущения'!C37*'Допущения'!$B$8*'Допущения'!D37*$B25*(1+'Допущения'!$B$13)^1</x:f>
        <x:v>58251.73728813559</x:v>
      </x:c>
      <x:c r="J25" s="7" t="n">
        <x:f>SUM(C25:I25)</x:f>
        <x:v>4522664.883050849</x:v>
      </x:c>
      <x:c r="K25" s="9" t="n">
        <x:f>J25/(1+'Допущения'!$B$9)</x:f>
        <x:v>4307299.888619856</x:v>
      </x:c>
      <x:c r="L25" s="9" t="n">
        <x:f>C25/(1+'Допущения'!$B$9)*'Допущения'!E31+'Допущения'!C31*'Допущения'!$B$8*$B25*'Допущения'!F31*(1+'Допущения'!$B$14)^1+D25/(1+'Допущения'!$B$9)*'Допущения'!E32+'Допущения'!C32*'Допущения'!$B$8*$B25*'Допущения'!F32*(1+'Допущения'!$B$14)^1+E25/(1+'Допущения'!$B$9)*'Допущения'!E33+'Допущения'!C33*'Допущения'!$B$8*$B25*'Допущения'!F33*(1+'Допущения'!$B$14)^1+F25/(1+'Допущения'!$B$9)*'Допущения'!E34+'Допущения'!C34*'Допущения'!$B$8*$B25*'Допущения'!F34*(1+'Допущения'!$B$14)^1+G25/(1+'Допущения'!$B$9)*'Допущения'!E35+'Допущения'!C35*'Допущения'!$B$8*$B25*'Допущения'!F35*(1+'Допущения'!$B$14)^1+H25/(1+'Допущения'!$B$9)*'Допущения'!E36+'Допущения'!C36*'Допущения'!$B$8*$B25*'Допущения'!F36*(1+'Допущения'!$B$14)^1+I25/(1+'Допущения'!$B$9)*'Допущения'!E37+'Допущения'!C37*'Допущения'!$B$8*$B25*'Допущения'!F37*(1+'Допущения'!$B$14)^1</x:f>
        <x:v>577502.0141041164</x:v>
      </x:c>
      <x:c r="M25" s="9" t="n">
        <x:f>J25*'Допущения'!$B$11</x:f>
        <x:v>90453.29766101697</x:v>
      </x:c>
      <x:c r="N25" s="9" t="n">
        <x:f>'Инвестиции'!$C$35*(1+'Допущения'!$B$14)^1</x:f>
        <x:v>1869710.1164000002</x:v>
      </x:c>
      <x:c r="O25" s="9" t="n">
        <x:f>K25*'Допущения'!$B$10</x:f>
        <x:v>258437.99331719134</x:v>
      </x:c>
      <x:c r="P25" s="9" t="n">
        <x:f>K25*'Допущения'!$B$12</x:f>
        <x:v>86145.99777239712</x:v>
      </x:c>
      <x:c r="Q25" s="7" t="n">
        <x:f>K25-L25-M25-N25</x:f>
        <x:v>1769634.4604547224</x:v>
      </x:c>
      <x:c r="R25" s="7" t="n">
        <x:f>Q25-O25-P25</x:f>
        <x:v>1425050.469365134</x:v>
      </x:c>
      <x:c r="S25" s="7" t="n">
        <x:f>S24+R25</x:f>
        <x:v>6594132.707894426</x:v>
      </x:c>
      <x:c r="T25" s="7" t="n">
        <x:f>IF(S25&gt;=0,A25,999)</x:f>
        <x:v>19</x:v>
      </x:c>
      <x:c r="U25" s="22" t="n">
        <x:f>'Допущения'!C31*'Допущения'!$B$8*B25*'Допущения'!$B$17/'Допущения'!$B$18/'Допущения'!$B$16</x:f>
        <x:v>23.993066255778118</x:v>
      </x:c>
      <x:c r="V25" s="7"/>
      <x:c r="W25" s="7"/>
    </x:row>
    <x:row r="26" ht="23" customHeight="1">
      <x:c r="A26" s="1" t="n">
        <x:v>20</x:v>
      </x:c>
      <x:c r="B26" s="17" t="n">
        <x:f>'Допущения'!C49*'Допущения'!D53</x:f>
        <x:v>0.8135593220338982</x:v>
      </x:c>
      <x:c r="C26" s="9" t="n">
        <x:f>'Допущения'!C31*'Допущения'!$B$8*'Допущения'!D31*$B26*(1+'Допущения'!$B$13)^1</x:f>
        <x:v>2609677.8305084747</x:v>
      </x:c>
      <x:c r="D26" s="9" t="n">
        <x:f>'Допущения'!C32*'Допущения'!$B$8*'Допущения'!D32*$B26*(1+'Допущения'!$B$13)^1</x:f>
        <x:v>178949.33694915255</x:v>
      </x:c>
      <x:c r="E26" s="9" t="n">
        <x:f>'Допущения'!C33*'Допущения'!$B$8*'Допущения'!D33*$B26*(1+'Допущения'!$B$13)^1</x:f>
        <x:v>417548.45288135594</x:v>
      </x:c>
      <x:c r="F26" s="9" t="n">
        <x:f>'Допущения'!C34*'Допущения'!$B$8*'Допущения'!D34*$B26*(1+'Допущения'!$B$13)^1</x:f>
        <x:v>556731.2705084746</x:v>
      </x:c>
      <x:c r="G26" s="9" t="n">
        <x:f>'Допущения'!C35*'Допущения'!$B$8*'Допущения'!D35*$B26*(1+'Допущения'!$B$13)^1</x:f>
        <x:v>932027.7966101695</x:v>
      </x:c>
      <x:c r="H26" s="9" t="n">
        <x:f>'Допущения'!C36*'Допущения'!$B$8*'Допущения'!D36*$B26*(1+'Допущения'!$B$13)^1</x:f>
        <x:v>67106.0013559322</x:v>
      </x:c>
      <x:c r="I26" s="9" t="n">
        <x:f>'Допущения'!C37*'Допущения'!$B$8*'Допущения'!D37*$B26*(1+'Допущения'!$B$13)^1</x:f>
        <x:v>62135.186440677964</x:v>
      </x:c>
      <x:c r="J26" s="7" t="n">
        <x:f>SUM(C26:I26)</x:f>
        <x:v>4824175.875254237</x:v>
      </x:c>
      <x:c r="K26" s="9" t="n">
        <x:f>J26/(1+'Допущения'!$B$9)</x:f>
        <x:v>4594453.214527844</x:v>
      </x:c>
      <x:c r="L26" s="9" t="n">
        <x:f>C26/(1+'Допущения'!$B$9)*'Допущения'!E31+'Допущения'!C31*'Допущения'!$B$8*$B26*'Допущения'!F31*(1+'Допущения'!$B$14)^1+D26/(1+'Допущения'!$B$9)*'Допущения'!E32+'Допущения'!C32*'Допущения'!$B$8*$B26*'Допущения'!F32*(1+'Допущения'!$B$14)^1+E26/(1+'Допущения'!$B$9)*'Допущения'!E33+'Допущения'!C33*'Допущения'!$B$8*$B26*'Допущения'!F33*(1+'Допущения'!$B$14)^1+F26/(1+'Допущения'!$B$9)*'Допущения'!E34+'Допущения'!C34*'Допущения'!$B$8*$B26*'Допущения'!F34*(1+'Допущения'!$B$14)^1+G26/(1+'Допущения'!$B$9)*'Допущения'!E35+'Допущения'!C35*'Допущения'!$B$8*$B26*'Допущения'!F35*(1+'Допущения'!$B$14)^1+H26/(1+'Допущения'!$B$9)*'Допущения'!E36+'Допущения'!C36*'Допущения'!$B$8*$B26*'Допущения'!F36*(1+'Допущения'!$B$14)^1+I26/(1+'Допущения'!$B$9)*'Допущения'!E37+'Допущения'!C37*'Допущения'!$B$8*$B26*'Допущения'!F37*(1+'Допущения'!$B$14)^1</x:f>
        <x:v>616002.148377724</x:v>
      </x:c>
      <x:c r="M26" s="9" t="n">
        <x:f>J26*'Допущения'!$B$11</x:f>
        <x:v>96483.51750508475</x:v>
      </x:c>
      <x:c r="N26" s="9" t="n">
        <x:f>'Инвестиции'!$C$35*(1+'Допущения'!$B$14)^1</x:f>
        <x:v>1869710.1164000002</x:v>
      </x:c>
      <x:c r="O26" s="9" t="n">
        <x:f>K26*'Допущения'!$B$10</x:f>
        <x:v>275667.19287167065</x:v>
      </x:c>
      <x:c r="P26" s="9" t="n">
        <x:f>K26*'Допущения'!$B$12</x:f>
        <x:v>91889.0642905569</x:v>
      </x:c>
      <x:c r="Q26" s="7" t="n">
        <x:f>K26-L26-M26-N26</x:f>
        <x:v>2012257.4322450357</x:v>
      </x:c>
      <x:c r="R26" s="7" t="n">
        <x:f>Q26-O26-P26</x:f>
        <x:v>1644701.1750828081</x:v>
      </x:c>
      <x:c r="S26" s="7" t="n">
        <x:f>S25+R26</x:f>
        <x:v>8238833.882977234</x:v>
      </x:c>
      <x:c r="T26" s="7" t="n">
        <x:f>IF(S26&gt;=0,A26,999)</x:f>
        <x:v>20</x:v>
      </x:c>
      <x:c r="U26" s="22" t="n">
        <x:f>'Допущения'!C31*'Допущения'!$B$8*B26*'Допущения'!$B$17/'Допущения'!$B$18/'Допущения'!$B$16</x:f>
        <x:v>25.592604006163324</x:v>
      </x:c>
      <x:c r="V26" s="7"/>
      <x:c r="W26" s="7"/>
    </x:row>
    <x:row r="27" ht="23" customHeight="1">
      <x:c r="A27" s="1" t="n">
        <x:v>21</x:v>
      </x:c>
      <x:c r="B27" s="17" t="n">
        <x:f>'Допущения'!C50*'Допущения'!D53</x:f>
        <x:v>1.0677966101694916</x:v>
      </x:c>
      <x:c r="C27" s="9" t="n">
        <x:f>'Допущения'!C31*'Допущения'!$B$8*'Допущения'!D31*$B27*(1+'Допущения'!$B$13)^1</x:f>
        <x:v>3425202.1525423736</x:v>
      </x:c>
      <x:c r="D27" s="9" t="n">
        <x:f>'Допущения'!C32*'Допущения'!$B$8*'Допущения'!D32*$B27*(1+'Допущения'!$B$13)^1</x:f>
        <x:v>234871.00474576277</x:v>
      </x:c>
      <x:c r="E27" s="9" t="n">
        <x:f>'Допущения'!C33*'Допущения'!$B$8*'Допущения'!D33*$B27*(1+'Допущения'!$B$13)^1</x:f>
        <x:v>548032.3444067797</x:v>
      </x:c>
      <x:c r="F27" s="9" t="n">
        <x:f>'Допущения'!C34*'Допущения'!$B$8*'Допущения'!D34*$B27*(1+'Допущения'!$B$13)^1</x:f>
        <x:v>730709.792542373</x:v>
      </x:c>
      <x:c r="G27" s="9" t="n">
        <x:f>'Допущения'!C35*'Допущения'!$B$8*'Допущения'!D35*$B27*(1+'Допущения'!$B$13)^1</x:f>
        <x:v>1223286.4830508477</x:v>
      </x:c>
      <x:c r="H27" s="9" t="n">
        <x:f>'Допущения'!C36*'Допущения'!$B$8*'Допущения'!D36*$B27*(1+'Допущения'!$B$13)^1</x:f>
        <x:v>88076.62677966102</x:v>
      </x:c>
      <x:c r="I27" s="9" t="n">
        <x:f>'Допущения'!C37*'Допущения'!$B$8*'Допущения'!D37*$B27*(1+'Допущения'!$B$13)^1</x:f>
        <x:v>81552.43220338984</x:v>
      </x:c>
      <x:c r="J27" s="7" t="n">
        <x:f>SUM(C27:I27)</x:f>
        <x:v>6331730.836271186</x:v>
      </x:c>
      <x:c r="K27" s="9" t="n">
        <x:f>J27/(1+'Допущения'!$B$9)</x:f>
        <x:v>6030219.844067796</x:v>
      </x:c>
      <x:c r="L27" s="9" t="n">
        <x:f>C27/(1+'Допущения'!$B$9)*'Допущения'!E31+'Допущения'!C31*'Допущения'!$B$8*$B27*'Допущения'!F31*(1+'Допущения'!$B$14)^1+D27/(1+'Допущения'!$B$9)*'Допущения'!E32+'Допущения'!C32*'Допущения'!$B$8*$B27*'Допущения'!F32*(1+'Допущения'!$B$14)^1+E27/(1+'Допущения'!$B$9)*'Допущения'!E33+'Допущения'!C33*'Допущения'!$B$8*$B27*'Допущения'!F33*(1+'Допущения'!$B$14)^1+F27/(1+'Допущения'!$B$9)*'Допущения'!E34+'Допущения'!C34*'Допущения'!$B$8*$B27*'Допущения'!F34*(1+'Допущения'!$B$14)^1+G27/(1+'Допущения'!$B$9)*'Допущения'!E35+'Допущения'!C35*'Допущения'!$B$8*$B27*'Допущения'!F35*(1+'Допущения'!$B$14)^1+H27/(1+'Допущения'!$B$9)*'Допущения'!E36+'Допущения'!C36*'Допущения'!$B$8*$B27*'Допущения'!F36*(1+'Допущения'!$B$14)^1+I27/(1+'Допущения'!$B$9)*'Допущения'!E37+'Допущения'!C37*'Допущения'!$B$8*$B27*'Допущения'!F37*(1+'Допущения'!$B$14)^1</x:f>
        <x:v>808502.8197457627</x:v>
      </x:c>
      <x:c r="M27" s="9" t="n">
        <x:f>J27*'Допущения'!$B$11</x:f>
        <x:v>126634.61672542374</x:v>
      </x:c>
      <x:c r="N27" s="9" t="n">
        <x:f>'Инвестиции'!$C$35*(1+'Допущения'!$B$14)^1</x:f>
        <x:v>1869710.1164000002</x:v>
      </x:c>
      <x:c r="O27" s="9" t="n">
        <x:f>K27*'Допущения'!$B$10</x:f>
        <x:v>361813.19064406777</x:v>
      </x:c>
      <x:c r="P27" s="9" t="n">
        <x:f>K27*'Допущения'!$B$12</x:f>
        <x:v>120604.39688135592</x:v>
      </x:c>
      <x:c r="Q27" s="7" t="n">
        <x:f>K27-L27-M27-N27</x:f>
        <x:v>3225372.2911966094</x:v>
      </x:c>
      <x:c r="R27" s="7" t="n">
        <x:f>Q27-O27-P27</x:f>
        <x:v>2742954.7036711858</x:v>
      </x:c>
      <x:c r="S27" s="7" t="n">
        <x:f>S26+R27</x:f>
        <x:v>10981788.58664842</x:v>
      </x:c>
      <x:c r="T27" s="7" t="n">
        <x:f>IF(S27&gt;=0,A27,999)</x:f>
        <x:v>21</x:v>
      </x:c>
      <x:c r="U27" s="22" t="n">
        <x:f>'Допущения'!C31*'Допущения'!$B$8*B27*'Допущения'!$B$17/'Допущения'!$B$18/'Допущения'!$B$16</x:f>
        <x:v>33.59029275808938</x:v>
      </x:c>
      <x:c r="V27" s="7"/>
      <x:c r="W27" s="7"/>
    </x:row>
    <x:row r="28" ht="23" customHeight="1">
      <x:c r="A28" s="1" t="n">
        <x:v>22</x:v>
      </x:c>
      <x:c r="B28" s="17" t="n">
        <x:f>'Допущения'!C51*'Допущения'!D53</x:f>
        <x:v>1.1694915254237286</x:v>
      </x:c>
      <x:c r="C28" s="9" t="n">
        <x:f>'Допущения'!C31*'Допущения'!$B$8*'Допущения'!D31*$B28*(1+'Допущения'!$B$13)^1</x:f>
        <x:v>3751411.8813559324</x:v>
      </x:c>
      <x:c r="D28" s="9" t="n">
        <x:f>'Допущения'!C32*'Допущения'!$B$8*'Допущения'!D32*$B28*(1+'Допущения'!$B$13)^1</x:f>
        <x:v>257239.67186440676</x:v>
      </x:c>
      <x:c r="E28" s="9" t="n">
        <x:f>'Допущения'!C33*'Допущения'!$B$8*'Допущения'!D33*$B28*(1+'Допущения'!$B$13)^1</x:f>
        <x:v>600225.9010169491</x:v>
      </x:c>
      <x:c r="F28" s="9" t="n">
        <x:f>'Допущения'!C34*'Допущения'!$B$8*'Допущения'!D34*$B28*(1+'Допущения'!$B$13)^1</x:f>
        <x:v>800301.201355932</x:v>
      </x:c>
      <x:c r="G28" s="9" t="n">
        <x:f>'Допущения'!C35*'Допущения'!$B$8*'Допущения'!D35*$B28*(1+'Допущения'!$B$13)^1</x:f>
        <x:v>1339789.9576271183</x:v>
      </x:c>
      <x:c r="H28" s="9" t="n">
        <x:f>'Допущения'!C36*'Допущения'!$B$8*'Допущения'!D36*$B28*(1+'Допущения'!$B$13)^1</x:f>
        <x:v>96464.87694915253</x:v>
      </x:c>
      <x:c r="I28" s="9" t="n">
        <x:f>'Допущения'!C37*'Допущения'!$B$8*'Допущения'!D37*$B28*(1+'Допущения'!$B$13)^1</x:f>
        <x:v>89319.33050847457</x:v>
      </x:c>
      <x:c r="J28" s="7" t="n">
        <x:f>SUM(C28:I28)</x:f>
        <x:v>6934752.820677966</x:v>
      </x:c>
      <x:c r="K28" s="9" t="n">
        <x:f>J28/(1+'Допущения'!$B$9)</x:f>
        <x:v>6604526.495883777</x:v>
      </x:c>
      <x:c r="L28" s="9" t="n">
        <x:f>C28/(1+'Допущения'!$B$9)*'Допущения'!E31+'Допущения'!C31*'Допущения'!$B$8*$B28*'Допущения'!F31*(1+'Допущения'!$B$14)^1+D28/(1+'Допущения'!$B$9)*'Допущения'!E32+'Допущения'!C32*'Допущения'!$B$8*$B28*'Допущения'!F32*(1+'Допущения'!$B$14)^1+E28/(1+'Допущения'!$B$9)*'Допущения'!E33+'Допущения'!C33*'Допущения'!$B$8*$B28*'Допущения'!F33*(1+'Допущения'!$B$14)^1+F28/(1+'Допущения'!$B$9)*'Допущения'!E34+'Допущения'!C34*'Допущения'!$B$8*$B28*'Допущения'!F34*(1+'Допущения'!$B$14)^1+G28/(1+'Допущения'!$B$9)*'Допущения'!E35+'Допущения'!C35*'Допущения'!$B$8*$B28*'Допущения'!F35*(1+'Допущения'!$B$14)^1+H28/(1+'Допущения'!$B$9)*'Допущения'!E36+'Допущения'!C36*'Допущения'!$B$8*$B28*'Допущения'!F36*(1+'Допущения'!$B$14)^1+I28/(1+'Допущения'!$B$9)*'Допущения'!E37+'Допущения'!C37*'Допущения'!$B$8*$B28*'Допущения'!F37*(1+'Допущения'!$B$14)^1</x:f>
        <x:v>885503.088292978</x:v>
      </x:c>
      <x:c r="M28" s="9" t="n">
        <x:f>J28*'Допущения'!$B$11</x:f>
        <x:v>138695.05641355933</x:v>
      </x:c>
      <x:c r="N28" s="9" t="n">
        <x:f>'Инвестиции'!$C$35*(1+'Допущения'!$B$14)^1</x:f>
        <x:v>1869710.1164000002</x:v>
      </x:c>
      <x:c r="O28" s="9" t="n">
        <x:f>K28*'Допущения'!$B$10</x:f>
        <x:v>396271.5897530266</x:v>
      </x:c>
      <x:c r="P28" s="9" t="n">
        <x:f>K28*'Допущения'!$B$12</x:f>
        <x:v>132090.52991767554</x:v>
      </x:c>
      <x:c r="Q28" s="7" t="n">
        <x:f>K28-L28-M28-N28</x:f>
        <x:v>3710618.2347772396</x:v>
      </x:c>
      <x:c r="R28" s="7" t="n">
        <x:f>Q28-O28-P28</x:f>
        <x:v>3182256.1151065375</x:v>
      </x:c>
      <x:c r="S28" s="7" t="n">
        <x:f>S27+R28</x:f>
        <x:v>14164044.701754957</x:v>
      </x:c>
      <x:c r="T28" s="7" t="n">
        <x:f>IF(S28&gt;=0,A28,999)</x:f>
        <x:v>22</x:v>
      </x:c>
      <x:c r="U28" s="22" t="n">
        <x:f>'Допущения'!C31*'Допущения'!$B$8*B28*'Допущения'!$B$17/'Допущения'!$B$18/'Допущения'!$B$16</x:f>
        <x:v>36.78936825885979</x:v>
      </x:c>
      <x:c r="V28" s="7"/>
      <x:c r="W28" s="7"/>
    </x:row>
    <x:row r="29" ht="23" customHeight="1">
      <x:c r="A29" s="1" t="n">
        <x:v>23</x:v>
      </x:c>
      <x:c r="B29" s="17" t="n">
        <x:f>'Допущения'!C52*'Допущения'!D53</x:f>
        <x:v>1.2203389830508473</x:v>
      </x:c>
      <x:c r="C29" s="9" t="n">
        <x:f>'Допущения'!C31*'Допущения'!$B$8*'Допущения'!D31*$B29*(1+'Допущения'!$B$13)^1</x:f>
        <x:v>3914516.745762712</x:v>
      </x:c>
      <x:c r="D29" s="9" t="n">
        <x:f>'Допущения'!C32*'Допущения'!$B$8*'Допущения'!D32*$B29*(1+'Допущения'!$B$13)^1</x:f>
        <x:v>268424.00542372884</x:v>
      </x:c>
      <x:c r="E29" s="9" t="n">
        <x:f>'Допущения'!C33*'Допущения'!$B$8*'Допущения'!D33*$B29*(1+'Допущения'!$B$13)^1</x:f>
        <x:v>626322.679322034</x:v>
      </x:c>
      <x:c r="F29" s="9" t="n">
        <x:f>'Допущения'!C34*'Допущения'!$B$8*'Допущения'!D34*$B29*(1+'Допущения'!$B$13)^1</x:f>
        <x:v>835096.9057627118</x:v>
      </x:c>
      <x:c r="G29" s="9" t="n">
        <x:f>'Допущения'!C35*'Допущения'!$B$8*'Допущения'!D35*$B29*(1+'Допущения'!$B$13)^1</x:f>
        <x:v>1398041.6949152541</x:v>
      </x:c>
      <x:c r="H29" s="9" t="n">
        <x:f>'Допущения'!C36*'Допущения'!$B$8*'Допущения'!D36*$B29*(1+'Допущения'!$B$13)^1</x:f>
        <x:v>100659.00203389829</x:v>
      </x:c>
      <x:c r="I29" s="9" t="n">
        <x:f>'Допущения'!C37*'Допущения'!$B$8*'Допущения'!D37*$B29*(1+'Допущения'!$B$13)^1</x:f>
        <x:v>93202.77966101695</x:v>
      </x:c>
      <x:c r="J29" s="7" t="n">
        <x:f>SUM(C29:I29)</x:f>
        <x:v>7236263.812881356</x:v>
      </x:c>
      <x:c r="K29" s="9" t="n">
        <x:f>J29/(1+'Допущения'!$B$9)</x:f>
        <x:v>6891679.821791767</x:v>
      </x:c>
      <x:c r="L29" s="9" t="n">
        <x:f>C29/(1+'Допущения'!$B$9)*'Допущения'!E31+'Допущения'!C31*'Допущения'!$B$8*$B29*'Допущения'!F31*(1+'Допущения'!$B$14)^1+D29/(1+'Допущения'!$B$9)*'Допущения'!E32+'Допущения'!C32*'Допущения'!$B$8*$B29*'Допущения'!F32*(1+'Допущения'!$B$14)^1+E29/(1+'Допущения'!$B$9)*'Допущения'!E33+'Допущения'!C33*'Допущения'!$B$8*$B29*'Допущения'!F33*(1+'Допущения'!$B$14)^1+F29/(1+'Допущения'!$B$9)*'Допущения'!E34+'Допущения'!C34*'Допущения'!$B$8*$B29*'Допущения'!F34*(1+'Допущения'!$B$14)^1+G29/(1+'Допущения'!$B$9)*'Допущения'!E35+'Допущения'!C35*'Допущения'!$B$8*$B29*'Допущения'!F35*(1+'Допущения'!$B$14)^1+H29/(1+'Допущения'!$B$9)*'Допущения'!E36+'Допущения'!C36*'Допущения'!$B$8*$B29*'Допущения'!F36*(1+'Допущения'!$B$14)^1+I29/(1+'Допущения'!$B$9)*'Допущения'!E37+'Допущения'!C37*'Допущения'!$B$8*$B29*'Допущения'!F37*(1+'Допущения'!$B$14)^1</x:f>
        <x:v>924003.2225665859</x:v>
      </x:c>
      <x:c r="M29" s="9" t="n">
        <x:f>J29*'Допущения'!$B$11</x:f>
        <x:v>144725.27625762712</x:v>
      </x:c>
      <x:c r="N29" s="9" t="n">
        <x:f>'Инвестиции'!$C$35*(1+'Допущения'!$B$14)^1</x:f>
        <x:v>1869710.1164000002</x:v>
      </x:c>
      <x:c r="O29" s="9" t="n">
        <x:f>K29*'Допущения'!$B$10</x:f>
        <x:v>413500.789307506</x:v>
      </x:c>
      <x:c r="P29" s="9" t="n">
        <x:f>K29*'Допущения'!$B$12</x:f>
        <x:v>137833.59643583535</x:v>
      </x:c>
      <x:c r="Q29" s="7" t="n">
        <x:f>K29-L29-M29-N29</x:f>
        <x:v>3953241.2065675543</x:v>
      </x:c>
      <x:c r="R29" s="7" t="n">
        <x:f>Q29-O29-P29</x:f>
        <x:v>3401906.8208242133</x:v>
      </x:c>
      <x:c r="S29" s="7" t="n">
        <x:f>S28+R29</x:f>
        <x:v>17565951.52257917</x:v>
      </x:c>
      <x:c r="T29" s="7" t="n">
        <x:f>IF(S29&gt;=0,A29,999)</x:f>
        <x:v>23</x:v>
      </x:c>
      <x:c r="U29" s="22" t="n">
        <x:f>'Допущения'!C31*'Допущения'!$B$8*B29*'Допущения'!$B$17/'Допущения'!$B$18/'Допущения'!$B$16</x:f>
        <x:v>38.388906009245</x:v>
      </x:c>
      <x:c r="V29" s="7"/>
      <x:c r="W29" s="7"/>
    </x:row>
    <x:row r="30" ht="23" customHeight="1">
      <x:c r="A30" s="1" t="n">
        <x:v>24</x:v>
      </x:c>
      <x:c r="B30" s="17" t="n">
        <x:f>'Допущения'!C53*'Допущения'!D53</x:f>
        <x:v>1.271186440677966</x:v>
      </x:c>
      <x:c r="C30" s="9" t="n">
        <x:f>'Допущения'!C31*'Допущения'!$B$8*'Допущения'!D31*$B30*(1+'Допущения'!$B$13)^1</x:f>
        <x:v>4077621.610169492</x:v>
      </x:c>
      <x:c r="D30" s="9" t="n">
        <x:f>'Допущения'!C32*'Допущения'!$B$8*'Допущения'!D32*$B30*(1+'Допущения'!$B$13)^1</x:f>
        <x:v>279608.33898305084</x:v>
      </x:c>
      <x:c r="E30" s="9" t="n">
        <x:f>'Допущения'!C33*'Допущения'!$B$8*'Допущения'!D33*$B30*(1+'Допущения'!$B$13)^1</x:f>
        <x:v>652419.4576271187</x:v>
      </x:c>
      <x:c r="F30" s="9" t="n">
        <x:f>'Допущения'!C34*'Допущения'!$B$8*'Допущения'!D34*$B30*(1+'Допущения'!$B$13)^1</x:f>
        <x:v>869892.6101694915</x:v>
      </x:c>
      <x:c r="G30" s="9" t="n">
        <x:f>'Допущения'!C35*'Допущения'!$B$8*'Допущения'!D35*$B30*(1+'Допущения'!$B$13)^1</x:f>
        <x:v>1456293.43220339</x:v>
      </x:c>
      <x:c r="H30" s="9" t="n">
        <x:f>'Допущения'!C36*'Допущения'!$B$8*'Допущения'!D36*$B30*(1+'Допущения'!$B$13)^1</x:f>
        <x:v>104853.12711864406</x:v>
      </x:c>
      <x:c r="I30" s="9" t="n">
        <x:f>'Допущения'!C37*'Допущения'!$B$8*'Допущения'!D37*$B30*(1+'Допущения'!$B$13)^1</x:f>
        <x:v>97086.22881355933</x:v>
      </x:c>
      <x:c r="J30" s="7" t="n">
        <x:f>SUM(C30:I30)</x:f>
        <x:v>7537774.805084747</x:v>
      </x:c>
      <x:c r="K30" s="9" t="n">
        <x:f>J30/(1+'Допущения'!$B$9)</x:f>
        <x:v>7178833.147699759</x:v>
      </x:c>
      <x:c r="L30" s="9" t="n">
        <x:f>C30/(1+'Допущения'!$B$9)*'Допущения'!E31+'Допущения'!C31*'Допущения'!$B$8*$B30*'Допущения'!F31*(1+'Допущения'!$B$14)^1+D30/(1+'Допущения'!$B$9)*'Допущения'!E32+'Допущения'!C32*'Допущения'!$B$8*$B30*'Допущения'!F32*(1+'Допущения'!$B$14)^1+E30/(1+'Допущения'!$B$9)*'Допущения'!E33+'Допущения'!C33*'Допущения'!$B$8*$B30*'Допущения'!F33*(1+'Допущения'!$B$14)^1+F30/(1+'Допущения'!$B$9)*'Допущения'!E34+'Допущения'!C34*'Допущения'!$B$8*$B30*'Допущения'!F34*(1+'Допущения'!$B$14)^1+G30/(1+'Допущения'!$B$9)*'Допущения'!E35+'Допущения'!C35*'Допущения'!$B$8*$B30*'Допущения'!F35*(1+'Допущения'!$B$14)^1+H30/(1+'Допущения'!$B$9)*'Допущения'!E36+'Допущения'!C36*'Допущения'!$B$8*$B30*'Допущения'!F36*(1+'Допущения'!$B$14)^1+I30/(1+'Допущения'!$B$9)*'Допущения'!E37+'Допущения'!C37*'Допущения'!$B$8*$B30*'Допущения'!F37*(1+'Допущения'!$B$14)^1</x:f>
        <x:v>962503.3568401936</x:v>
      </x:c>
      <x:c r="M30" s="9" t="n">
        <x:f>J30*'Допущения'!$B$11</x:f>
        <x:v>150755.49610169494</x:v>
      </x:c>
      <x:c r="N30" s="9" t="n">
        <x:f>'Инвестиции'!$C$35*(1+'Допущения'!$B$14)^1</x:f>
        <x:v>1869710.1164000002</x:v>
      </x:c>
      <x:c r="O30" s="9" t="n">
        <x:f>K30*'Допущения'!$B$10</x:f>
        <x:v>430729.98886198556</x:v>
      </x:c>
      <x:c r="P30" s="9" t="n">
        <x:f>K30*'Допущения'!$B$12</x:f>
        <x:v>143576.6629539952</x:v>
      </x:c>
      <x:c r="Q30" s="7" t="n">
        <x:f>K30-L30-M30-N30</x:f>
        <x:v>4195864.178357871</x:v>
      </x:c>
      <x:c r="R30" s="7" t="n">
        <x:f>Q30-O30-P30</x:f>
        <x:v>3621557.5265418906</x:v>
      </x:c>
      <x:c r="S30" s="7" t="n">
        <x:f>S29+R30</x:f>
        <x:v>21187509.04912106</x:v>
      </x:c>
      <x:c r="T30" s="7" t="n">
        <x:f>IF(S30&gt;=0,A30,999)</x:f>
        <x:v>24</x:v>
      </x:c>
      <x:c r="U30" s="22" t="n">
        <x:f>'Допущения'!C31*'Допущения'!$B$8*B30*'Допущения'!$B$17/'Допущения'!$B$18/'Допущения'!$B$16</x:f>
        <x:v>39.9884437596302</x:v>
      </x:c>
      <x:c r="V30" s="7"/>
      <x:c r="W30" s="7"/>
    </x:row>
    <x:row r="31" ht="23" customHeight="1">
      <x:c r="A31" s="1" t="n">
        <x:v>25</x:v>
      </x:c>
      <x:c r="B31" s="17" t="n">
        <x:f>'Допущения'!C42*'Допущения'!D53</x:f>
        <x:v>1.1186440677966103</x:v>
      </x:c>
      <x:c r="C31" s="9" t="n">
        <x:f>'Допущения'!C31*'Допущения'!$B$8*'Допущения'!D31*$B31*(1+'Допущения'!$B$13)^2</x:f>
        <x:v>3695956.227457628</x:v>
      </x:c>
      <x:c r="D31" s="9" t="n">
        <x:f>'Допущения'!C32*'Допущения'!$B$8*'Допущения'!D32*$B31*(1+'Допущения'!$B$13)^2</x:f>
        <x:v>253436.99845423736</x:v>
      </x:c>
      <x:c r="E31" s="9" t="n">
        <x:f>'Допущения'!C33*'Допущения'!$B$8*'Допущения'!D33*$B31*(1+'Допущения'!$B$13)^2</x:f>
        <x:v>591352.9963932204</x:v>
      </x:c>
      <x:c r="F31" s="9" t="n">
        <x:f>'Допущения'!C34*'Допущения'!$B$8*'Допущения'!D34*$B31*(1+'Допущения'!$B$13)^2</x:f>
        <x:v>788470.6618576271</x:v>
      </x:c>
      <x:c r="G31" s="9" t="n">
        <x:f>'Допущения'!C35*'Допущения'!$B$8*'Допущения'!D35*$B31*(1+'Допущения'!$B$13)^2</x:f>
        <x:v>1319984.3669491527</x:v>
      </x:c>
      <x:c r="H31" s="9" t="n">
        <x:f>'Допущения'!C36*'Допущения'!$B$8*'Допущения'!D36*$B31*(1+'Допущения'!$B$13)^2</x:f>
        <x:v>95038.874420339</x:v>
      </x:c>
      <x:c r="I31" s="9" t="n">
        <x:f>'Допущения'!C37*'Допущения'!$B$8*'Допущения'!D37*$B31*(1+'Допущения'!$B$13)^2</x:f>
        <x:v>87998.95779661018</x:v>
      </x:c>
      <x:c r="J31" s="7" t="n">
        <x:f>SUM(C31:I31)</x:f>
        <x:v>6832239.083328814</x:v>
      </x:c>
      <x:c r="K31" s="9" t="n">
        <x:f>J31/(1+'Допущения'!$B$9)</x:f>
        <x:v>6506894.365075061</x:v>
      </x:c>
      <x:c r="L31" s="9" t="n">
        <x:f>C31/(1+'Допущения'!$B$9)*'Допущения'!E31+'Допущения'!C31*'Допущения'!$B$8*$B31*'Допущения'!F31*(1+'Допущения'!$B$14)^2+D31/(1+'Допущения'!$B$9)*'Допущения'!E32+'Допущения'!C32*'Допущения'!$B$8*$B31*'Допущения'!F32*(1+'Допущения'!$B$14)^2+E31/(1+'Допущения'!$B$9)*'Допущения'!E33+'Допущения'!C33*'Допущения'!$B$8*$B31*'Допущения'!F33*(1+'Допущения'!$B$14)^2+F31/(1+'Допущения'!$B$9)*'Допущения'!E34+'Допущения'!C34*'Допущения'!$B$8*$B31*'Допущения'!F34*(1+'Допущения'!$B$14)^2+G31/(1+'Допущения'!$B$9)*'Допущения'!E35+'Допущения'!C35*'Допущения'!$B$8*$B31*'Допущения'!F35*(1+'Допущения'!$B$14)^2+H31/(1+'Допущения'!$B$9)*'Допущения'!E36+'Допущения'!C36*'Допущения'!$B$8*$B31*'Допущения'!F36*(1+'Допущения'!$B$14)^2+I31/(1+'Допущения'!$B$9)*'Допущения'!E37+'Допущения'!C37*'Допущения'!$B$8*$B31*'Допущения'!F37*(1+'Допущения'!$B$14)^2</x:f>
        <x:v>872848.516792494</x:v>
      </x:c>
      <x:c r="M31" s="9" t="n">
        <x:f>J31*'Допущения'!$B$11</x:f>
        <x:v>136644.78166657628</x:v>
      </x:c>
      <x:c r="N31" s="9" t="n">
        <x:f>'Инвестиции'!$C$35*(1+'Допущения'!$B$14)^2</x:f>
        <x:v>1963195.62222</x:v>
      </x:c>
      <x:c r="O31" s="9" t="n">
        <x:f>K31*'Допущения'!$B$10</x:f>
        <x:v>390413.66190450365</x:v>
      </x:c>
      <x:c r="P31" s="9" t="n">
        <x:f>K31*'Допущения'!$B$12</x:f>
        <x:v>130137.88730150122</x:v>
      </x:c>
      <x:c r="Q31" s="7" t="n">
        <x:f>K31-L31-M31-N31</x:f>
        <x:v>3534205.444395991</x:v>
      </x:c>
      <x:c r="R31" s="7" t="n">
        <x:f>Q31-O31-P31</x:f>
        <x:v>3013653.895189986</x:v>
      </x:c>
      <x:c r="S31" s="7" t="n">
        <x:f>S30+R31</x:f>
        <x:v>24201162.944311045</x:v>
      </x:c>
      <x:c r="T31" s="7" t="n">
        <x:f>IF(S31&gt;=0,A31,999)</x:f>
        <x:v>25</x:v>
      </x:c>
      <x:c r="U31" s="22" t="n">
        <x:f>'Допущения'!C31*'Допущения'!$B$8*B31*'Допущения'!$B$17/'Допущения'!$B$18/'Допущения'!$B$16</x:f>
        <x:v>35.189830508474586</x:v>
      </x:c>
      <x:c r="V31" s="7"/>
      <x:c r="W31" s="7"/>
    </x:row>
    <x:row r="32" ht="23" customHeight="1">
      <x:c r="A32" s="1" t="n">
        <x:v>26</x:v>
      </x:c>
      <x:c r="B32" s="17" t="n">
        <x:f>'Допущения'!C43*'Допущения'!D53</x:f>
        <x:v>1.0677966101694916</x:v>
      </x:c>
      <x:c r="C32" s="9" t="n">
        <x:f>'Допущения'!C31*'Допущения'!$B$8*'Допущения'!D31*$B32*(1+'Допущения'!$B$13)^2</x:f>
        <x:v>3527958.217118644</x:v>
      </x:c>
      <x:c r="D32" s="9" t="n">
        <x:f>'Допущения'!C32*'Допущения'!$B$8*'Допущения'!D32*$B32*(1+'Допущения'!$B$13)^2</x:f>
        <x:v>241917.13488813562</x:v>
      </x:c>
      <x:c r="E32" s="9" t="n">
        <x:f>'Допущения'!C33*'Допущения'!$B$8*'Допущения'!D33*$B32*(1+'Допущения'!$B$13)^2</x:f>
        <x:v>564473.3147389832</x:v>
      </x:c>
      <x:c r="F32" s="9" t="n">
        <x:f>'Допущения'!C34*'Допущения'!$B$8*'Допущения'!D34*$B32*(1+'Допущения'!$B$13)^2</x:f>
        <x:v>752631.0863186441</x:v>
      </x:c>
      <x:c r="G32" s="9" t="n">
        <x:f>'Допущения'!C35*'Допущения'!$B$8*'Допущения'!D35*$B32*(1+'Допущения'!$B$13)^2</x:f>
        <x:v>1259985.077542373</x:v>
      </x:c>
      <x:c r="H32" s="9" t="n">
        <x:f>'Допущения'!C36*'Допущения'!$B$8*'Допущения'!D36*$B32*(1+'Допущения'!$B$13)^2</x:f>
        <x:v>90718.92558305085</x:v>
      </x:c>
      <x:c r="I32" s="9" t="n">
        <x:f>'Допущения'!C37*'Допущения'!$B$8*'Допущения'!D37*$B32*(1+'Допущения'!$B$13)^2</x:f>
        <x:v>83999.00516949153</x:v>
      </x:c>
      <x:c r="J32" s="7" t="n">
        <x:f>SUM(C32:I32)</x:f>
        <x:v>6521682.761359322</x:v>
      </x:c>
      <x:c r="K32" s="9" t="n">
        <x:f>J32/(1+'Допущения'!$B$9)</x:f>
        <x:v>6211126.43938983</x:v>
      </x:c>
      <x:c r="L32" s="9" t="n">
        <x:f>C32/(1+'Допущения'!$B$9)*'Допущения'!E31+'Допущения'!C31*'Допущения'!$B$8*$B32*'Допущения'!F31*(1+'Допущения'!$B$14)^2+D32/(1+'Допущения'!$B$9)*'Допущения'!E32+'Допущения'!C32*'Допущения'!$B$8*$B32*'Допущения'!F32*(1+'Допущения'!$B$14)^2+E32/(1+'Допущения'!$B$9)*'Допущения'!E33+'Допущения'!C33*'Допущения'!$B$8*$B32*'Допущения'!F33*(1+'Допущения'!$B$14)^2+F32/(1+'Допущения'!$B$9)*'Допущения'!E34+'Допущения'!C34*'Допущения'!$B$8*$B32*'Допущения'!F34*(1+'Допущения'!$B$14)^2+G32/(1+'Допущения'!$B$9)*'Допущения'!E35+'Допущения'!C35*'Допущения'!$B$8*$B32*'Допущения'!F35*(1+'Допущения'!$B$14)^2+H32/(1+'Допущения'!$B$9)*'Допущения'!E36+'Допущения'!C36*'Допущения'!$B$8*$B32*'Допущения'!F36*(1+'Допущения'!$B$14)^2+I32/(1+'Допущения'!$B$9)*'Допущения'!E37+'Допущения'!C37*'Допущения'!$B$8*$B32*'Допущения'!F37*(1+'Допущения'!$B$14)^2</x:f>
        <x:v>833173.5842110169</x:v>
      </x:c>
      <x:c r="M32" s="9" t="n">
        <x:f>J32*'Допущения'!$B$11</x:f>
        <x:v>130433.65522718643</x:v>
      </x:c>
      <x:c r="N32" s="9" t="n">
        <x:f>'Инвестиции'!$C$35*(1+'Допущения'!$B$14)^2</x:f>
        <x:v>1963195.62222</x:v>
      </x:c>
      <x:c r="O32" s="9" t="n">
        <x:f>K32*'Допущения'!$B$10</x:f>
        <x:v>372667.5863633898</x:v>
      </x:c>
      <x:c r="P32" s="9" t="n">
        <x:f>K32*'Допущения'!$B$12</x:f>
        <x:v>124222.52878779662</x:v>
      </x:c>
      <x:c r="Q32" s="7" t="n">
        <x:f>K32-L32-M32-N32</x:f>
        <x:v>3284323.577731627</x:v>
      </x:c>
      <x:c r="R32" s="7" t="n">
        <x:f>Q32-O32-P32</x:f>
        <x:v>2787433.4625804406</x:v>
      </x:c>
      <x:c r="S32" s="7" t="n">
        <x:f>S31+R32</x:f>
        <x:v>26988596.406891488</x:v>
      </x:c>
      <x:c r="T32" s="7" t="n">
        <x:f>IF(S32&gt;=0,A32,999)</x:f>
        <x:v>26</x:v>
      </x:c>
      <x:c r="U32" s="22" t="n">
        <x:f>'Допущения'!C31*'Допущения'!$B$8*B32*'Допущения'!$B$17/'Допущения'!$B$18/'Допущения'!$B$16</x:f>
        <x:v>33.59029275808938</x:v>
      </x:c>
      <x:c r="V32" s="7"/>
      <x:c r="W32" s="7"/>
    </x:row>
    <x:row r="33" ht="23" customHeight="1">
      <x:c r="A33" s="1" t="n">
        <x:v>27</x:v>
      </x:c>
      <x:c r="B33" s="17" t="n">
        <x:f>'Допущения'!C44*'Допущения'!D53</x:f>
        <x:v>1.0169491525423728</x:v>
      </x:c>
      <x:c r="C33" s="9" t="n">
        <x:f>'Допущения'!C31*'Допущения'!$B$8*'Допущения'!D31*$B33*(1+'Допущения'!$B$13)^2</x:f>
        <x:v>3359960.2067796616</x:v>
      </x:c>
      <x:c r="D33" s="9" t="n">
        <x:f>'Допущения'!C32*'Допущения'!$B$8*'Допущения'!D32*$B33*(1+'Допущения'!$B$13)^2</x:f>
        <x:v>230397.27132203392</x:v>
      </x:c>
      <x:c r="E33" s="9" t="n">
        <x:f>'Допущения'!C33*'Допущения'!$B$8*'Допущения'!D33*$B33*(1+'Допущения'!$B$13)^2</x:f>
        <x:v>537593.6330847458</x:v>
      </x:c>
      <x:c r="F33" s="9" t="n">
        <x:f>'Допущения'!C34*'Допущения'!$B$8*'Допущения'!D34*$B33*(1+'Допущения'!$B$13)^2</x:f>
        <x:v>716791.510779661</x:v>
      </x:c>
      <x:c r="G33" s="9" t="n">
        <x:f>'Допущения'!C35*'Допущения'!$B$8*'Допущения'!D35*$B33*(1+'Допущения'!$B$13)^2</x:f>
        <x:v>1199985.788135593</x:v>
      </x:c>
      <x:c r="H33" s="9" t="n">
        <x:f>'Допущения'!C36*'Допущения'!$B$8*'Допущения'!D36*$B33*(1+'Допущения'!$B$13)^2</x:f>
        <x:v>86398.97674576272</x:v>
      </x:c>
      <x:c r="I33" s="9" t="n">
        <x:f>'Допущения'!C37*'Допущения'!$B$8*'Допущения'!D37*$B33*(1+'Допущения'!$B$13)^2</x:f>
        <x:v>79999.05254237287</x:v>
      </x:c>
      <x:c r="J33" s="7" t="n">
        <x:f>SUM(C33:I33)</x:f>
        <x:v>6211126.43938983</x:v>
      </x:c>
      <x:c r="K33" s="9" t="n">
        <x:f>J33/(1+'Допущения'!$B$9)</x:f>
        <x:v>5915358.5137046</x:v>
      </x:c>
      <x:c r="L33" s="9" t="n">
        <x:f>C33/(1+'Допущения'!$B$9)*'Допущения'!E31+'Допущения'!C31*'Допущения'!$B$8*$B33*'Допущения'!F31*(1+'Допущения'!$B$14)^2+D33/(1+'Допущения'!$B$9)*'Допущения'!E32+'Допущения'!C32*'Допущения'!$B$8*$B33*'Допущения'!F32*(1+'Допущения'!$B$14)^2+E33/(1+'Допущения'!$B$9)*'Допущения'!E33+'Допущения'!C33*'Допущения'!$B$8*$B33*'Допущения'!F33*(1+'Допущения'!$B$14)^2+F33/(1+'Допущения'!$B$9)*'Допущения'!E34+'Допущения'!C34*'Допущения'!$B$8*$B33*'Допущения'!F34*(1+'Допущения'!$B$14)^2+G33/(1+'Допущения'!$B$9)*'Допущения'!E35+'Допущения'!C35*'Допущения'!$B$8*$B33*'Допущения'!F35*(1+'Допущения'!$B$14)^2+H33/(1+'Допущения'!$B$9)*'Допущения'!E36+'Допущения'!C36*'Допущения'!$B$8*$B33*'Допущения'!F36*(1+'Допущения'!$B$14)^2+I33/(1+'Допущения'!$B$9)*'Допущения'!E37+'Допущения'!C37*'Допущения'!$B$8*$B33*'Допущения'!F37*(1+'Допущения'!$B$14)^2</x:f>
        <x:v>793498.6516295399</x:v>
      </x:c>
      <x:c r="M33" s="9" t="n">
        <x:f>J33*'Допущения'!$B$11</x:f>
        <x:v>124222.52878779662</x:v>
      </x:c>
      <x:c r="N33" s="9" t="n">
        <x:f>'Инвестиции'!$C$35*(1+'Допущения'!$B$14)^2</x:f>
        <x:v>1963195.62222</x:v>
      </x:c>
      <x:c r="O33" s="9" t="n">
        <x:f>K33*'Допущения'!$B$10</x:f>
        <x:v>354921.510822276</x:v>
      </x:c>
      <x:c r="P33" s="9" t="n">
        <x:f>K33*'Допущения'!$B$12</x:f>
        <x:v>118307.170274092</x:v>
      </x:c>
      <x:c r="Q33" s="7" t="n">
        <x:f>K33-L33-M33-N33</x:f>
        <x:v>3034441.711067263</x:v>
      </x:c>
      <x:c r="R33" s="7" t="n">
        <x:f>Q33-O33-P33</x:f>
        <x:v>2561213.029970895</x:v>
      </x:c>
      <x:c r="S33" s="7" t="n">
        <x:f>S32+R33</x:f>
        <x:v>29549809.436862383</x:v>
      </x:c>
      <x:c r="T33" s="7" t="n">
        <x:f>IF(S33&gt;=0,A33,999)</x:f>
        <x:v>27</x:v>
      </x:c>
      <x:c r="U33" s="22" t="n">
        <x:f>'Допущения'!C31*'Допущения'!$B$8*B33*'Допущения'!$B$17/'Допущения'!$B$18/'Допущения'!$B$16</x:f>
        <x:v>31.990755007704163</x:v>
      </x:c>
      <x:c r="V33" s="7"/>
      <x:c r="W33" s="7"/>
    </x:row>
    <x:row r="34" ht="23" customHeight="1">
      <x:c r="A34" s="1" t="n">
        <x:v>28</x:v>
      </x:c>
      <x:c r="B34" s="17" t="n">
        <x:f>'Допущения'!C45*'Допущения'!D53</x:f>
        <x:v>0.9152542372881356</x:v>
      </x:c>
      <x:c r="C34" s="9" t="n">
        <x:f>'Допущения'!C31*'Допущения'!$B$8*'Допущения'!D31*$B34*(1+'Допущения'!$B$13)^2</x:f>
        <x:v>3023964.1861016955</x:v>
      </x:c>
      <x:c r="D34" s="9" t="n">
        <x:f>'Допущения'!C32*'Допущения'!$B$8*'Допущения'!D32*$B34*(1+'Допущения'!$B$13)^2</x:f>
        <x:v>207357.5441898305</x:v>
      </x:c>
      <x:c r="E34" s="9" t="n">
        <x:f>'Допущения'!C33*'Допущения'!$B$8*'Допущения'!D33*$B34*(1+'Допущения'!$B$13)^2</x:f>
        <x:v>483834.2697762712</x:v>
      </x:c>
      <x:c r="F34" s="9" t="n">
        <x:f>'Допущения'!C34*'Допущения'!$B$8*'Допущения'!D34*$B34*(1+'Допущения'!$B$13)^2</x:f>
        <x:v>645112.3597016949</x:v>
      </x:c>
      <x:c r="G34" s="9" t="n">
        <x:f>'Допущения'!C35*'Допущения'!$B$8*'Допущения'!D35*$B34*(1+'Допущения'!$B$13)^2</x:f>
        <x:v>1079987.209322034</x:v>
      </x:c>
      <x:c r="H34" s="9" t="n">
        <x:f>'Допущения'!C36*'Допущения'!$B$8*'Допущения'!D36*$B34*(1+'Допущения'!$B$13)^2</x:f>
        <x:v>77759.07907118644</x:v>
      </x:c>
      <x:c r="I34" s="9" t="n">
        <x:f>'Допущения'!C37*'Допущения'!$B$8*'Допущения'!D37*$B34*(1+'Допущения'!$B$13)^2</x:f>
        <x:v>71999.14728813559</x:v>
      </x:c>
      <x:c r="J34" s="7" t="n">
        <x:f>SUM(C34:I34)</x:f>
        <x:v>5590013.795450847</x:v>
      </x:c>
      <x:c r="K34" s="9" t="n">
        <x:f>J34/(1+'Допущения'!$B$9)</x:f>
        <x:v>5323822.662334139</x:v>
      </x:c>
      <x:c r="L34" s="9" t="n">
        <x:f>C34/(1+'Допущения'!$B$9)*'Допущения'!E31+'Допущения'!C31*'Допущения'!$B$8*$B34*'Допущения'!F31*(1+'Допущения'!$B$14)^2+D34/(1+'Допущения'!$B$9)*'Допущения'!E32+'Допущения'!C32*'Допущения'!$B$8*$B34*'Допущения'!F32*(1+'Допущения'!$B$14)^2+E34/(1+'Допущения'!$B$9)*'Допущения'!E33+'Допущения'!C33*'Допущения'!$B$8*$B34*'Допущения'!F33*(1+'Допущения'!$B$14)^2+F34/(1+'Допущения'!$B$9)*'Допущения'!E34+'Допущения'!C34*'Допущения'!$B$8*$B34*'Допущения'!F34*(1+'Допущения'!$B$14)^2+G34/(1+'Допущения'!$B$9)*'Допущения'!E35+'Допущения'!C35*'Допущения'!$B$8*$B34*'Допущения'!F35*(1+'Допущения'!$B$14)^2+H34/(1+'Допущения'!$B$9)*'Допущения'!E36+'Допущения'!C36*'Допущения'!$B$8*$B34*'Допущения'!F36*(1+'Допущения'!$B$14)^2+I34/(1+'Допущения'!$B$9)*'Допущения'!E37+'Допущения'!C37*'Допущения'!$B$8*$B34*'Допущения'!F37*(1+'Допущения'!$B$14)^2</x:f>
        <x:v>714148.7864665859</x:v>
      </x:c>
      <x:c r="M34" s="9" t="n">
        <x:f>J34*'Допущения'!$B$11</x:f>
        <x:v>111800.27590901694</x:v>
      </x:c>
      <x:c r="N34" s="9" t="n">
        <x:f>'Инвестиции'!$C$35*(1+'Допущения'!$B$14)^2</x:f>
        <x:v>1963195.62222</x:v>
      </x:c>
      <x:c r="O34" s="9" t="n">
        <x:f>K34*'Допущения'!$B$10</x:f>
        <x:v>319429.35974004836</x:v>
      </x:c>
      <x:c r="P34" s="9" t="n">
        <x:f>K34*'Допущения'!$B$12</x:f>
        <x:v>106476.4532466828</x:v>
      </x:c>
      <x:c r="Q34" s="7" t="n">
        <x:f>K34-L34-M34-N34</x:f>
        <x:v>2534677.977738536</x:v>
      </x:c>
      <x:c r="R34" s="7" t="n">
        <x:f>Q34-O34-P34</x:f>
        <x:v>2108772.164751805</x:v>
      </x:c>
      <x:c r="S34" s="7" t="n">
        <x:f>S33+R34</x:f>
        <x:v>31658581.60161419</x:v>
      </x:c>
      <x:c r="T34" s="7" t="n">
        <x:f>IF(S34&gt;=0,A34,999)</x:f>
        <x:v>28</x:v>
      </x:c>
      <x:c r="U34" s="22" t="n">
        <x:f>'Допущения'!C31*'Допущения'!$B$8*B34*'Допущения'!$B$17/'Допущения'!$B$18/'Допущения'!$B$16</x:f>
        <x:v>28.791679506933747</x:v>
      </x:c>
      <x:c r="V34" s="7"/>
      <x:c r="W34" s="7"/>
    </x:row>
    <x:row r="35" ht="23" customHeight="1">
      <x:c r="A35" s="1" t="n">
        <x:v>29</x:v>
      </x:c>
      <x:c r="B35" s="17" t="n">
        <x:f>'Допущения'!C46*'Допущения'!D53</x:f>
        <x:v>0.8644067796610169</x:v>
      </x:c>
      <x:c r="C35" s="9" t="n">
        <x:f>'Допущения'!C31*'Допущения'!$B$8*'Допущения'!D31*$B35*(1+'Допущения'!$B$13)^2</x:f>
        <x:v>2855966.175762712</x:v>
      </x:c>
      <x:c r="D35" s="9" t="n">
        <x:f>'Допущения'!C32*'Допущения'!$B$8*'Допущения'!D32*$B35*(1+'Допущения'!$B$13)^2</x:f>
        <x:v>195837.6806237288</x:v>
      </x:c>
      <x:c r="E35" s="9" t="n">
        <x:f>'Допущения'!C33*'Допущения'!$B$8*'Допущения'!D33*$B35*(1+'Допущения'!$B$13)^2</x:f>
        <x:v>456954.58812203386</x:v>
      </x:c>
      <x:c r="F35" s="9" t="n">
        <x:f>'Допущения'!C34*'Допущения'!$B$8*'Допущения'!D34*$B35*(1+'Допущения'!$B$13)^2</x:f>
        <x:v>609272.7841627118</x:v>
      </x:c>
      <x:c r="G35" s="9" t="n">
        <x:f>'Допущения'!C35*'Допущения'!$B$8*'Допущения'!D35*$B35*(1+'Допущения'!$B$13)^2</x:f>
        <x:v>1019987.9199152541</x:v>
      </x:c>
      <x:c r="H35" s="9" t="n">
        <x:f>'Допущения'!C36*'Допущения'!$B$8*'Допущения'!D36*$B35*(1+'Допущения'!$B$13)^2</x:f>
        <x:v>73439.1302338983</x:v>
      </x:c>
      <x:c r="I35" s="9" t="n">
        <x:f>'Допущения'!C37*'Допущения'!$B$8*'Допущения'!D37*$B35*(1+'Допущения'!$B$13)^2</x:f>
        <x:v>67999.19466101694</x:v>
      </x:c>
      <x:c r="J35" s="7" t="n">
        <x:f>SUM(C35:I35)</x:f>
        <x:v>5279457.473481356</x:v>
      </x:c>
      <x:c r="K35" s="9" t="n">
        <x:f>J35/(1+'Допущения'!$B$9)</x:f>
        <x:v>5028054.736648911</x:v>
      </x:c>
      <x:c r="L35" s="9" t="n">
        <x:f>C35/(1+'Допущения'!$B$9)*'Допущения'!E31+'Допущения'!C31*'Допущения'!$B$8*$B35*'Допущения'!F31*(1+'Допущения'!$B$14)^2+D35/(1+'Допущения'!$B$9)*'Допущения'!E32+'Допущения'!C32*'Допущения'!$B$8*$B35*'Допущения'!F32*(1+'Допущения'!$B$14)^2+E35/(1+'Допущения'!$B$9)*'Допущения'!E33+'Допущения'!C33*'Допущения'!$B$8*$B35*'Допущения'!F33*(1+'Допущения'!$B$14)^2+F35/(1+'Допущения'!$B$9)*'Допущения'!E34+'Допущения'!C34*'Допущения'!$B$8*$B35*'Допущения'!F34*(1+'Допущения'!$B$14)^2+G35/(1+'Допущения'!$B$9)*'Допущения'!E35+'Допущения'!C35*'Допущения'!$B$8*$B35*'Допущения'!F35*(1+'Допущения'!$B$14)^2+H35/(1+'Допущения'!$B$9)*'Допущения'!E36+'Допущения'!C36*'Допущения'!$B$8*$B35*'Допущения'!F36*(1+'Допущения'!$B$14)^2+I35/(1+'Допущения'!$B$9)*'Допущения'!E37+'Допущения'!C37*'Допущения'!$B$8*$B35*'Допущения'!F37*(1+'Допущения'!$B$14)^2</x:f>
        <x:v>674473.8538851088</x:v>
      </x:c>
      <x:c r="M35" s="9" t="n">
        <x:f>J35*'Допущения'!$B$11</x:f>
        <x:v>105589.14946962713</x:v>
      </x:c>
      <x:c r="N35" s="9" t="n">
        <x:f>'Инвестиции'!$C$35*(1+'Допущения'!$B$14)^2</x:f>
        <x:v>1963195.62222</x:v>
      </x:c>
      <x:c r="O35" s="9" t="n">
        <x:f>K35*'Допущения'!$B$10</x:f>
        <x:v>301683.2841989346</x:v>
      </x:c>
      <x:c r="P35" s="9" t="n">
        <x:f>K35*'Допущения'!$B$12</x:f>
        <x:v>100561.09473297822</x:v>
      </x:c>
      <x:c r="Q35" s="7" t="n">
        <x:f>K35-L35-M35-N35</x:f>
        <x:v>2284796.1110741748</x:v>
      </x:c>
      <x:c r="R35" s="7" t="n">
        <x:f>Q35-O35-P35</x:f>
        <x:v>1882551.732142262</x:v>
      </x:c>
      <x:c r="S35" s="7" t="n">
        <x:f>S34+R35</x:f>
        <x:v>33541133.33375645</x:v>
      </x:c>
      <x:c r="T35" s="7" t="n">
        <x:f>IF(S35&gt;=0,A35,999)</x:f>
        <x:v>29</x:v>
      </x:c>
      <x:c r="U35" s="22" t="n">
        <x:f>'Допущения'!C31*'Допущения'!$B$8*B35*'Допущения'!$B$17/'Допущения'!$B$18/'Допущения'!$B$16</x:f>
        <x:v>27.192141756548537</x:v>
      </x:c>
      <x:c r="V35" s="7"/>
      <x:c r="W35" s="7"/>
    </x:row>
    <x:row r="36" ht="23" customHeight="1">
      <x:c r="A36" s="1" t="n">
        <x:v>30</x:v>
      </x:c>
      <x:c r="B36" s="17" t="n">
        <x:f>'Допущения'!C47*'Допущения'!D53</x:f>
        <x:v>0.7118644067796609</x:v>
      </x:c>
      <x:c r="C36" s="9" t="n">
        <x:f>'Допущения'!C31*'Допущения'!$B$8*'Допущения'!D31*$B36*(1+'Допущения'!$B$13)^2</x:f>
        <x:v>2351972.144745763</x:v>
      </x:c>
      <x:c r="D36" s="9" t="n">
        <x:f>'Допущения'!C32*'Допущения'!$B$8*'Допущения'!D32*$B36*(1+'Допущения'!$B$13)^2</x:f>
        <x:v>161278.0899254237</x:v>
      </x:c>
      <x:c r="E36" s="9" t="n">
        <x:f>'Допущения'!C33*'Допущения'!$B$8*'Допущения'!D33*$B36*(1+'Допущения'!$B$13)^2</x:f>
        <x:v>376315.543159322</x:v>
      </x:c>
      <x:c r="F36" s="9" t="n">
        <x:f>'Допущения'!C34*'Допущения'!$B$8*'Допущения'!D34*$B36*(1+'Допущения'!$B$13)^2</x:f>
        <x:v>501754.05754576257</x:v>
      </x:c>
      <x:c r="G36" s="9" t="n">
        <x:f>'Допущения'!C35*'Допущения'!$B$8*'Допущения'!D35*$B36*(1+'Допущения'!$B$13)^2</x:f>
        <x:v>839990.051694915</x:v>
      </x:c>
      <x:c r="H36" s="9" t="n">
        <x:f>'Допущения'!C36*'Допущения'!$B$8*'Допущения'!D36*$B36*(1+'Допущения'!$B$13)^2</x:f>
        <x:v>60479.283722033884</x:v>
      </x:c>
      <x:c r="I36" s="9" t="n">
        <x:f>'Допущения'!C37*'Допущения'!$B$8*'Допущения'!D37*$B36*(1+'Допущения'!$B$13)^2</x:f>
        <x:v>55999.336779661004</x:v>
      </x:c>
      <x:c r="J36" s="7" t="n">
        <x:f>SUM(C36:I36)</x:f>
        <x:v>4347788.50757288</x:v>
      </x:c>
      <x:c r="K36" s="9" t="n">
        <x:f>J36/(1+'Допущения'!$B$9)</x:f>
        <x:v>4140750.9595932188</x:v>
      </x:c>
      <x:c r="L36" s="9" t="n">
        <x:f>C36/(1+'Допущения'!$B$9)*'Допущения'!E31+'Допущения'!C31*'Допущения'!$B$8*$B36*'Допущения'!F31*(1+'Допущения'!$B$14)^2+D36/(1+'Допущения'!$B$9)*'Допущения'!E32+'Допущения'!C32*'Допущения'!$B$8*$B36*'Допущения'!F32*(1+'Допущения'!$B$14)^2+E36/(1+'Допущения'!$B$9)*'Допущения'!E33+'Допущения'!C33*'Допущения'!$B$8*$B36*'Допущения'!F33*(1+'Допущения'!$B$14)^2+F36/(1+'Допущения'!$B$9)*'Допущения'!E34+'Допущения'!C34*'Допущения'!$B$8*$B36*'Допущения'!F34*(1+'Допущения'!$B$14)^2+G36/(1+'Допущения'!$B$9)*'Допущения'!E35+'Допущения'!C35*'Допущения'!$B$8*$B36*'Допущения'!F35*(1+'Допущения'!$B$14)^2+H36/(1+'Допущения'!$B$9)*'Допущения'!E36+'Допущения'!C36*'Допущения'!$B$8*$B36*'Допущения'!F36*(1+'Допущения'!$B$14)^2+I36/(1+'Допущения'!$B$9)*'Допущения'!E37+'Допущения'!C37*'Допущения'!$B$8*$B36*'Допущения'!F37*(1+'Допущения'!$B$14)^2</x:f>
        <x:v>555449.0561406778</x:v>
      </x:c>
      <x:c r="M36" s="9" t="n">
        <x:f>J36*'Допущения'!$B$11</x:f>
        <x:v>86955.7701514576</x:v>
      </x:c>
      <x:c r="N36" s="9" t="n">
        <x:f>'Инвестиции'!$C$35*(1+'Допущения'!$B$14)^2</x:f>
        <x:v>1963195.62222</x:v>
      </x:c>
      <x:c r="O36" s="9" t="n">
        <x:f>K36*'Допущения'!$B$10</x:f>
        <x:v>248445.05757559312</x:v>
      </x:c>
      <x:c r="P36" s="9" t="n">
        <x:f>K36*'Допущения'!$B$12</x:f>
        <x:v>82815.01919186438</x:v>
      </x:c>
      <x:c r="Q36" s="7" t="n">
        <x:f>K36-L36-M36-N36</x:f>
        <x:v>1535150.511081083</x:v>
      </x:c>
      <x:c r="R36" s="7" t="n">
        <x:f>Q36-O36-P36</x:f>
        <x:v>1203890.4343136256</x:v>
      </x:c>
      <x:c r="S36" s="7" t="n">
        <x:f>S35+R36</x:f>
        <x:v>34745023.76807008</x:v>
      </x:c>
      <x:c r="T36" s="7" t="n">
        <x:f>IF(S36&gt;=0,A36,999)</x:f>
        <x:v>30</x:v>
      </x:c>
      <x:c r="U36" s="22" t="n">
        <x:f>'Допущения'!C31*'Допущения'!$B$8*B36*'Допущения'!$B$17/'Допущения'!$B$18/'Допущения'!$B$16</x:f>
        <x:v>22.39352850539291</x:v>
      </x:c>
      <x:c r="V36" s="7"/>
      <x:c r="W36" s="7"/>
    </x:row>
    <x:row r="37" ht="23" customHeight="1">
      <x:c r="A37" s="1" t="n">
        <x:v>31</x:v>
      </x:c>
      <x:c r="B37" s="17" t="n">
        <x:f>'Допущения'!C48*'Допущения'!D53</x:f>
        <x:v>0.7627118644067796</x:v>
      </x:c>
      <x:c r="C37" s="9" t="n">
        <x:f>'Допущения'!C31*'Допущения'!$B$8*'Допущения'!D31*$B37*(1+'Допущения'!$B$13)^2</x:f>
        <x:v>2519970.155084746</x:v>
      </x:c>
      <x:c r="D37" s="9" t="n">
        <x:f>'Допущения'!C32*'Допущения'!$B$8*'Допущения'!D32*$B37*(1+'Допущения'!$B$13)^2</x:f>
        <x:v>172797.95349152543</x:v>
      </x:c>
      <x:c r="E37" s="9" t="n">
        <x:f>'Допущения'!C33*'Допущения'!$B$8*'Допущения'!D33*$B37*(1+'Допущения'!$B$13)^2</x:f>
        <x:v>403195.2248135593</x:v>
      </x:c>
      <x:c r="F37" s="9" t="n">
        <x:f>'Допущения'!C34*'Допущения'!$B$8*'Допущения'!D34*$B37*(1+'Допущения'!$B$13)^2</x:f>
        <x:v>537593.6330847457</x:v>
      </x:c>
      <x:c r="G37" s="9" t="n">
        <x:f>'Допущения'!C35*'Допущения'!$B$8*'Допущения'!D35*$B37*(1+'Допущения'!$B$13)^2</x:f>
        <x:v>899989.3411016949</x:v>
      </x:c>
      <x:c r="H37" s="9" t="n">
        <x:f>'Допущения'!C36*'Допущения'!$B$8*'Допущения'!D36*$B37*(1+'Допущения'!$B$13)^2</x:f>
        <x:v>64799.23255932203</x:v>
      </x:c>
      <x:c r="I37" s="9" t="n">
        <x:f>'Допущения'!C37*'Допущения'!$B$8*'Допущения'!D37*$B37*(1+'Допущения'!$B$13)^2</x:f>
        <x:v>59999.28940677966</x:v>
      </x:c>
      <x:c r="J37" s="7" t="n">
        <x:f>SUM(C37:I37)</x:f>
        <x:v>4658344.829542372</x:v>
      </x:c>
      <x:c r="K37" s="9" t="n">
        <x:f>J37/(1+'Допущения'!$B$9)</x:f>
        <x:v>4436518.885278449</x:v>
      </x:c>
      <x:c r="L37" s="9" t="n">
        <x:f>C37/(1+'Допущения'!$B$9)*'Допущения'!E31+'Допущения'!C31*'Допущения'!$B$8*$B37*'Допущения'!F31*(1+'Допущения'!$B$14)^2+D37/(1+'Допущения'!$B$9)*'Допущения'!E32+'Допущения'!C32*'Допущения'!$B$8*$B37*'Допущения'!F32*(1+'Допущения'!$B$14)^2+E37/(1+'Допущения'!$B$9)*'Допущения'!E33+'Допущения'!C33*'Допущения'!$B$8*$B37*'Допущения'!F33*(1+'Допущения'!$B$14)^2+F37/(1+'Допущения'!$B$9)*'Допущения'!E34+'Допущения'!C34*'Допущения'!$B$8*$B37*'Допущения'!F34*(1+'Допущения'!$B$14)^2+G37/(1+'Допущения'!$B$9)*'Допущения'!E35+'Допущения'!C35*'Допущения'!$B$8*$B37*'Допущения'!F35*(1+'Допущения'!$B$14)^2+H37/(1+'Допущения'!$B$9)*'Допущения'!E36+'Допущения'!C36*'Допущения'!$B$8*$B37*'Допущения'!F36*(1+'Допущения'!$B$14)^2+I37/(1+'Допущения'!$B$9)*'Допущения'!E37+'Допущения'!C37*'Допущения'!$B$8*$B37*'Допущения'!F37*(1+'Допущения'!$B$14)^2</x:f>
        <x:v>595123.988722155</x:v>
      </x:c>
      <x:c r="M37" s="9" t="n">
        <x:f>J37*'Допущения'!$B$11</x:f>
        <x:v>93166.89659084745</x:v>
      </x:c>
      <x:c r="N37" s="9" t="n">
        <x:f>'Инвестиции'!$C$35*(1+'Допущения'!$B$14)^2</x:f>
        <x:v>1963195.62222</x:v>
      </x:c>
      <x:c r="O37" s="9" t="n">
        <x:f>K37*'Допущения'!$B$10</x:f>
        <x:v>266191.133116707</x:v>
      </x:c>
      <x:c r="P37" s="9" t="n">
        <x:f>K37*'Допущения'!$B$12</x:f>
        <x:v>88730.37770556899</x:v>
      </x:c>
      <x:c r="Q37" s="7" t="n">
        <x:f>K37-L37-M37-N37</x:f>
        <x:v>1785032.377745447</x:v>
      </x:c>
      <x:c r="R37" s="7" t="n">
        <x:f>Q37-O37-P37</x:f>
        <x:v>1430110.866923171</x:v>
      </x:c>
      <x:c r="S37" s="7" t="n">
        <x:f>S36+R37</x:f>
        <x:v>36175134.63499325</x:v>
      </x:c>
      <x:c r="T37" s="7" t="n">
        <x:f>IF(S37&gt;=0,A37,999)</x:f>
        <x:v>31</x:v>
      </x:c>
      <x:c r="U37" s="22" t="n">
        <x:f>'Допущения'!C31*'Допущения'!$B$8*B37*'Допущения'!$B$17/'Допущения'!$B$18/'Допущения'!$B$16</x:f>
        <x:v>23.993066255778118</x:v>
      </x:c>
      <x:c r="V37" s="7"/>
      <x:c r="W37" s="7"/>
    </x:row>
    <x:row r="38" ht="23" customHeight="1">
      <x:c r="A38" s="1" t="n">
        <x:v>32</x:v>
      </x:c>
      <x:c r="B38" s="17" t="n">
        <x:f>'Допущения'!C49*'Допущения'!D53</x:f>
        <x:v>0.8135593220338982</x:v>
      </x:c>
      <x:c r="C38" s="9" t="n">
        <x:f>'Допущения'!C31*'Допущения'!$B$8*'Допущения'!D31*$B38*(1+'Допущения'!$B$13)^2</x:f>
        <x:v>2687968.165423729</x:v>
      </x:c>
      <x:c r="D38" s="9" t="n">
        <x:f>'Допущения'!C32*'Допущения'!$B$8*'Допущения'!D32*$B38*(1+'Допущения'!$B$13)^2</x:f>
        <x:v>184317.8170576271</x:v>
      </x:c>
      <x:c r="E38" s="9" t="n">
        <x:f>'Допущения'!C33*'Допущения'!$B$8*'Допущения'!D33*$B38*(1+'Допущения'!$B$13)^2</x:f>
        <x:v>430074.9064677966</x:v>
      </x:c>
      <x:c r="F38" s="9" t="n">
        <x:f>'Допущения'!C34*'Допущения'!$B$8*'Допущения'!D34*$B38*(1+'Допущения'!$B$13)^2</x:f>
        <x:v>573433.2086237287</x:v>
      </x:c>
      <x:c r="G38" s="9" t="n">
        <x:f>'Допущения'!C35*'Допущения'!$B$8*'Допущения'!D35*$B38*(1+'Допущения'!$B$13)^2</x:f>
        <x:v>959988.6305084745</x:v>
      </x:c>
      <x:c r="H38" s="9" t="n">
        <x:f>'Допущения'!C36*'Допущения'!$B$8*'Допущения'!D36*$B38*(1+'Допущения'!$B$13)^2</x:f>
        <x:v>69119.18139661016</x:v>
      </x:c>
      <x:c r="I38" s="9" t="n">
        <x:f>'Допущения'!C37*'Допущения'!$B$8*'Допущения'!D37*$B38*(1+'Допущения'!$B$13)^2</x:f>
        <x:v>63999.2420338983</x:v>
      </x:c>
      <x:c r="J38" s="7" t="n">
        <x:f>SUM(C38:I38)</x:f>
        <x:v>4968901.151511865</x:v>
      </x:c>
      <x:c r="K38" s="9" t="n">
        <x:f>J38/(1+'Допущения'!$B$9)</x:f>
        <x:v>4732286.81096368</x:v>
      </x:c>
      <x:c r="L38" s="9" t="n">
        <x:f>C38/(1+'Допущения'!$B$9)*'Допущения'!E31+'Допущения'!C31*'Допущения'!$B$8*$B38*'Допущения'!F31*(1+'Допущения'!$B$14)^2+D38/(1+'Допущения'!$B$9)*'Допущения'!E32+'Допущения'!C32*'Допущения'!$B$8*$B38*'Допущения'!F32*(1+'Допущения'!$B$14)^2+E38/(1+'Допущения'!$B$9)*'Допущения'!E33+'Допущения'!C33*'Допущения'!$B$8*$B38*'Допущения'!F33*(1+'Допущения'!$B$14)^2+F38/(1+'Допущения'!$B$9)*'Допущения'!E34+'Допущения'!C34*'Допущения'!$B$8*$B38*'Допущения'!F34*(1+'Допущения'!$B$14)^2+G38/(1+'Допущения'!$B$9)*'Допущения'!E35+'Допущения'!C35*'Допущения'!$B$8*$B38*'Допущения'!F35*(1+'Допущения'!$B$14)^2+H38/(1+'Допущения'!$B$9)*'Допущения'!E36+'Допущения'!C36*'Допущения'!$B$8*$B38*'Допущения'!F36*(1+'Допущения'!$B$14)^2+I38/(1+'Допущения'!$B$9)*'Допущения'!E37+'Допущения'!C37*'Допущения'!$B$8*$B38*'Допущения'!F37*(1+'Допущения'!$B$14)^2</x:f>
        <x:v>634798.9213036319</x:v>
      </x:c>
      <x:c r="M38" s="9" t="n">
        <x:f>J38*'Допущения'!$B$11</x:f>
        <x:v>99378.0230302373</x:v>
      </x:c>
      <x:c r="N38" s="9" t="n">
        <x:f>'Инвестиции'!$C$35*(1+'Допущения'!$B$14)^2</x:f>
        <x:v>1963195.62222</x:v>
      </x:c>
      <x:c r="O38" s="9" t="n">
        <x:f>K38*'Допущения'!$B$10</x:f>
        <x:v>283937.20865782077</x:v>
      </x:c>
      <x:c r="P38" s="9" t="n">
        <x:f>K38*'Допущения'!$B$12</x:f>
        <x:v>94645.7362192736</x:v>
      </x:c>
      <x:c r="Q38" s="7" t="n">
        <x:f>K38-L38-M38-N38</x:f>
        <x:v>2034914.244409811</x:v>
      </x:c>
      <x:c r="R38" s="7" t="n">
        <x:f>Q38-O38-P38</x:f>
        <x:v>1656331.2995327166</x:v>
      </x:c>
      <x:c r="S38" s="7" t="n">
        <x:f>S37+R38</x:f>
        <x:v>37831465.93452597</x:v>
      </x:c>
      <x:c r="T38" s="7" t="n">
        <x:f>IF(S38&gt;=0,A38,999)</x:f>
        <x:v>32</x:v>
      </x:c>
      <x:c r="U38" s="22" t="n">
        <x:f>'Допущения'!C31*'Допущения'!$B$8*B38*'Допущения'!$B$17/'Допущения'!$B$18/'Допущения'!$B$16</x:f>
        <x:v>25.592604006163324</x:v>
      </x:c>
      <x:c r="V38" s="7"/>
      <x:c r="W38" s="7"/>
    </x:row>
    <x:row r="39" ht="23" customHeight="1">
      <x:c r="A39" s="1" t="n">
        <x:v>33</x:v>
      </x:c>
      <x:c r="B39" s="17" t="n">
        <x:f>'Допущения'!C50*'Допущения'!D53</x:f>
        <x:v>1.0677966101694916</x:v>
      </x:c>
      <x:c r="C39" s="9" t="n">
        <x:f>'Допущения'!C31*'Допущения'!$B$8*'Допущения'!D31*$B39*(1+'Допущения'!$B$13)^2</x:f>
        <x:v>3527958.217118644</x:v>
      </x:c>
      <x:c r="D39" s="9" t="n">
        <x:f>'Допущения'!C32*'Допущения'!$B$8*'Допущения'!D32*$B39*(1+'Допущения'!$B$13)^2</x:f>
        <x:v>241917.13488813562</x:v>
      </x:c>
      <x:c r="E39" s="9" t="n">
        <x:f>'Допущения'!C33*'Допущения'!$B$8*'Допущения'!D33*$B39*(1+'Допущения'!$B$13)^2</x:f>
        <x:v>564473.3147389832</x:v>
      </x:c>
      <x:c r="F39" s="9" t="n">
        <x:f>'Допущения'!C34*'Допущения'!$B$8*'Допущения'!D34*$B39*(1+'Допущения'!$B$13)^2</x:f>
        <x:v>752631.0863186441</x:v>
      </x:c>
      <x:c r="G39" s="9" t="n">
        <x:f>'Допущения'!C35*'Допущения'!$B$8*'Допущения'!D35*$B39*(1+'Допущения'!$B$13)^2</x:f>
        <x:v>1259985.077542373</x:v>
      </x:c>
      <x:c r="H39" s="9" t="n">
        <x:f>'Допущения'!C36*'Допущения'!$B$8*'Допущения'!D36*$B39*(1+'Допущения'!$B$13)^2</x:f>
        <x:v>90718.92558305085</x:v>
      </x:c>
      <x:c r="I39" s="9" t="n">
        <x:f>'Допущения'!C37*'Допущения'!$B$8*'Допущения'!D37*$B39*(1+'Допущения'!$B$13)^2</x:f>
        <x:v>83999.00516949153</x:v>
      </x:c>
      <x:c r="J39" s="7" t="n">
        <x:f>SUM(C39:I39)</x:f>
        <x:v>6521682.761359322</x:v>
      </x:c>
      <x:c r="K39" s="9" t="n">
        <x:f>J39/(1+'Допущения'!$B$9)</x:f>
        <x:v>6211126.43938983</x:v>
      </x:c>
      <x:c r="L39" s="9" t="n">
        <x:f>C39/(1+'Допущения'!$B$9)*'Допущения'!E31+'Допущения'!C31*'Допущения'!$B$8*$B39*'Допущения'!F31*(1+'Допущения'!$B$14)^2+D39/(1+'Допущения'!$B$9)*'Допущения'!E32+'Допущения'!C32*'Допущения'!$B$8*$B39*'Допущения'!F32*(1+'Допущения'!$B$14)^2+E39/(1+'Допущения'!$B$9)*'Допущения'!E33+'Допущения'!C33*'Допущения'!$B$8*$B39*'Допущения'!F33*(1+'Допущения'!$B$14)^2+F39/(1+'Допущения'!$B$9)*'Допущения'!E34+'Допущения'!C34*'Допущения'!$B$8*$B39*'Допущения'!F34*(1+'Допущения'!$B$14)^2+G39/(1+'Допущения'!$B$9)*'Допущения'!E35+'Допущения'!C35*'Допущения'!$B$8*$B39*'Допущения'!F35*(1+'Допущения'!$B$14)^2+H39/(1+'Допущения'!$B$9)*'Допущения'!E36+'Допущения'!C36*'Допущения'!$B$8*$B39*'Допущения'!F36*(1+'Допущения'!$B$14)^2+I39/(1+'Допущения'!$B$9)*'Допущения'!E37+'Допущения'!C37*'Допущения'!$B$8*$B39*'Допущения'!F37*(1+'Допущения'!$B$14)^2</x:f>
        <x:v>833173.5842110169</x:v>
      </x:c>
      <x:c r="M39" s="9" t="n">
        <x:f>J39*'Допущения'!$B$11</x:f>
        <x:v>130433.65522718643</x:v>
      </x:c>
      <x:c r="N39" s="9" t="n">
        <x:f>'Инвестиции'!$C$35*(1+'Допущения'!$B$14)^2</x:f>
        <x:v>1963195.62222</x:v>
      </x:c>
      <x:c r="O39" s="9" t="n">
        <x:f>K39*'Допущения'!$B$10</x:f>
        <x:v>372667.5863633898</x:v>
      </x:c>
      <x:c r="P39" s="9" t="n">
        <x:f>K39*'Допущения'!$B$12</x:f>
        <x:v>124222.52878779662</x:v>
      </x:c>
      <x:c r="Q39" s="7" t="n">
        <x:f>K39-L39-M39-N39</x:f>
        <x:v>3284323.577731627</x:v>
      </x:c>
      <x:c r="R39" s="7" t="n">
        <x:f>Q39-O39-P39</x:f>
        <x:v>2787433.4625804406</x:v>
      </x:c>
      <x:c r="S39" s="7" t="n">
        <x:f>S38+R39</x:f>
        <x:v>40618899.39710641</x:v>
      </x:c>
      <x:c r="T39" s="7" t="n">
        <x:f>IF(S39&gt;=0,A39,999)</x:f>
        <x:v>33</x:v>
      </x:c>
      <x:c r="U39" s="22" t="n">
        <x:f>'Допущения'!C31*'Допущения'!$B$8*B39*'Допущения'!$B$17/'Допущения'!$B$18/'Допущения'!$B$16</x:f>
        <x:v>33.59029275808938</x:v>
      </x:c>
      <x:c r="V39" s="7"/>
      <x:c r="W39" s="7"/>
    </x:row>
    <x:row r="40" ht="23" customHeight="1">
      <x:c r="A40" s="1" t="n">
        <x:v>34</x:v>
      </x:c>
      <x:c r="B40" s="17" t="n">
        <x:f>'Допущения'!C51*'Допущения'!D53</x:f>
        <x:v>1.1694915254237286</x:v>
      </x:c>
      <x:c r="C40" s="9" t="n">
        <x:f>'Допущения'!C31*'Допущения'!$B$8*'Допущения'!D31*$B40*(1+'Допущения'!$B$13)^2</x:f>
        <x:v>3863954.2377966098</x:v>
      </x:c>
      <x:c r="D40" s="9" t="n">
        <x:f>'Допущения'!C32*'Допущения'!$B$8*'Допущения'!D32*$B40*(1+'Допущения'!$B$13)^2</x:f>
        <x:v>264956.86202033894</x:v>
      </x:c>
      <x:c r="E40" s="9" t="n">
        <x:f>'Допущения'!C33*'Допущения'!$B$8*'Допущения'!D33*$B40*(1+'Допущения'!$B$13)^2</x:f>
        <x:v>618232.6780474576</x:v>
      </x:c>
      <x:c r="F40" s="9" t="n">
        <x:f>'Допущения'!C34*'Допущения'!$B$8*'Допущения'!D34*$B40*(1+'Допущения'!$B$13)^2</x:f>
        <x:v>824310.23739661</x:v>
      </x:c>
      <x:c r="G40" s="9" t="n">
        <x:f>'Допущения'!C35*'Допущения'!$B$8*'Допущения'!D35*$B40*(1+'Допущения'!$B$13)^2</x:f>
        <x:v>1379983.656355932</x:v>
      </x:c>
      <x:c r="H40" s="9" t="n">
        <x:f>'Допущения'!C36*'Допущения'!$B$8*'Допущения'!D36*$B40*(1+'Допущения'!$B$13)^2</x:f>
        <x:v>99358.8232576271</x:v>
      </x:c>
      <x:c r="I40" s="9" t="n">
        <x:f>'Допущения'!C37*'Допущения'!$B$8*'Допущения'!D37*$B40*(1+'Допущения'!$B$13)^2</x:f>
        <x:v>91998.9104237288</x:v>
      </x:c>
      <x:c r="J40" s="7" t="n">
        <x:f>SUM(C40:I40)</x:f>
        <x:v>7142795.405298303</x:v>
      </x:c>
      <x:c r="K40" s="9" t="n">
        <x:f>J40/(1+'Допущения'!$B$9)</x:f>
        <x:v>6802662.290760288</x:v>
      </x:c>
      <x:c r="L40" s="9" t="n">
        <x:f>C40/(1+'Допущения'!$B$9)*'Допущения'!E31+'Допущения'!C31*'Допущения'!$B$8*$B40*'Допущения'!F31*(1+'Допущения'!$B$14)^2+D40/(1+'Допущения'!$B$9)*'Допущения'!E32+'Допущения'!C32*'Допущения'!$B$8*$B40*'Допущения'!F32*(1+'Допущения'!$B$14)^2+E40/(1+'Допущения'!$B$9)*'Допущения'!E33+'Допущения'!C33*'Допущения'!$B$8*$B40*'Допущения'!F33*(1+'Допущения'!$B$14)^2+F40/(1+'Допущения'!$B$9)*'Допущения'!E34+'Допущения'!C34*'Допущения'!$B$8*$B40*'Допущения'!F34*(1+'Допущения'!$B$14)^2+G40/(1+'Допущения'!$B$9)*'Допущения'!E35+'Допущения'!C35*'Допущения'!$B$8*$B40*'Допущения'!F35*(1+'Допущения'!$B$14)^2+H40/(1+'Допущения'!$B$9)*'Допущения'!E36+'Допущения'!C36*'Допущения'!$B$8*$B40*'Допущения'!F36*(1+'Допущения'!$B$14)^2+I40/(1+'Допущения'!$B$9)*'Допущения'!E37+'Допущения'!C37*'Допущения'!$B$8*$B40*'Допущения'!F37*(1+'Допущения'!$B$14)^2</x:f>
        <x:v>912523.4493739706</x:v>
      </x:c>
      <x:c r="M40" s="9" t="n">
        <x:f>J40*'Допущения'!$B$11</x:f>
        <x:v>142855.90810596605</x:v>
      </x:c>
      <x:c r="N40" s="9" t="n">
        <x:f>'Инвестиции'!$C$35*(1+'Допущения'!$B$14)^2</x:f>
        <x:v>1963195.62222</x:v>
      </x:c>
      <x:c r="O40" s="9" t="n">
        <x:f>K40*'Допущения'!$B$10</x:f>
        <x:v>408159.73744561727</x:v>
      </x:c>
      <x:c r="P40" s="9" t="n">
        <x:f>K40*'Допущения'!$B$12</x:f>
        <x:v>136053.24581520577</x:v>
      </x:c>
      <x:c r="Q40" s="7" t="n">
        <x:f>K40-L40-M40-N40</x:f>
        <x:v>3784087.3110603513</x:v>
      </x:c>
      <x:c r="R40" s="7" t="n">
        <x:f>Q40-O40-P40</x:f>
        <x:v>3239874.3277995284</x:v>
      </x:c>
      <x:c r="S40" s="7" t="n">
        <x:f>S39+R40</x:f>
        <x:v>43858773.72490594</x:v>
      </x:c>
      <x:c r="T40" s="7" t="n">
        <x:f>IF(S40&gt;=0,A40,999)</x:f>
        <x:v>34</x:v>
      </x:c>
      <x:c r="U40" s="22" t="n">
        <x:f>'Допущения'!C31*'Допущения'!$B$8*B40*'Допущения'!$B$17/'Допущения'!$B$18/'Допущения'!$B$16</x:f>
        <x:v>36.78936825885979</x:v>
      </x:c>
      <x:c r="V40" s="7"/>
      <x:c r="W40" s="7"/>
    </x:row>
    <x:row r="41" ht="23" customHeight="1">
      <x:c r="A41" s="1" t="n">
        <x:v>35</x:v>
      </x:c>
      <x:c r="B41" s="17" t="n">
        <x:f>'Допущения'!C52*'Допущения'!D53</x:f>
        <x:v>1.2203389830508473</x:v>
      </x:c>
      <x:c r="C41" s="9" t="n">
        <x:f>'Допущения'!C31*'Допущения'!$B$8*'Допущения'!D31*$B41*(1+'Допущения'!$B$13)^2</x:f>
        <x:v>4031952.248135593</x:v>
      </x:c>
      <x:c r="D41" s="9" t="n">
        <x:f>'Допущения'!C32*'Допущения'!$B$8*'Допущения'!D32*$B41*(1+'Допущения'!$B$13)^2</x:f>
        <x:v>276476.72558644065</x:v>
      </x:c>
      <x:c r="E41" s="9" t="n">
        <x:f>'Допущения'!C33*'Допущения'!$B$8*'Допущения'!D33*$B41*(1+'Допущения'!$B$13)^2</x:f>
        <x:v>645112.3597016949</x:v>
      </x:c>
      <x:c r="F41" s="9" t="n">
        <x:f>'Допущения'!C34*'Допущения'!$B$8*'Допущения'!D34*$B41*(1+'Допущения'!$B$13)^2</x:f>
        <x:v>860149.8129355931</x:v>
      </x:c>
      <x:c r="G41" s="9" t="n">
        <x:f>'Допущения'!C35*'Допущения'!$B$8*'Допущения'!D35*$B41*(1+'Допущения'!$B$13)^2</x:f>
        <x:v>1439982.9457627116</x:v>
      </x:c>
      <x:c r="H41" s="9" t="n">
        <x:f>'Допущения'!C36*'Допущения'!$B$8*'Допущения'!D36*$B41*(1+'Допущения'!$B$13)^2</x:f>
        <x:v>103678.77209491523</x:v>
      </x:c>
      <x:c r="I41" s="9" t="n">
        <x:f>'Допущения'!C37*'Допущения'!$B$8*'Допущения'!D37*$B41*(1+'Допущения'!$B$13)^2</x:f>
        <x:v>95998.86305084745</x:v>
      </x:c>
      <x:c r="J41" s="7" t="n">
        <x:f>SUM(C41:I41)</x:f>
        <x:v>7453351.727267795</x:v>
      </x:c>
      <x:c r="K41" s="9" t="n">
        <x:f>J41/(1+'Допущения'!$B$9)</x:f>
        <x:v>7098430.216445519</x:v>
      </x:c>
      <x:c r="L41" s="9" t="n">
        <x:f>C41/(1+'Допущения'!$B$9)*'Допущения'!E31+'Допущения'!C31*'Допущения'!$B$8*$B41*'Допущения'!F31*(1+'Допущения'!$B$14)^2+D41/(1+'Допущения'!$B$9)*'Допущения'!E32+'Допущения'!C32*'Допущения'!$B$8*$B41*'Допущения'!F32*(1+'Допущения'!$B$14)^2+E41/(1+'Допущения'!$B$9)*'Допущения'!E33+'Допущения'!C33*'Допущения'!$B$8*$B41*'Допущения'!F33*(1+'Допущения'!$B$14)^2+F41/(1+'Допущения'!$B$9)*'Допущения'!E34+'Допущения'!C34*'Допущения'!$B$8*$B41*'Допущения'!F34*(1+'Допущения'!$B$14)^2+G41/(1+'Допущения'!$B$9)*'Допущения'!E35+'Допущения'!C35*'Допущения'!$B$8*$B41*'Допущения'!F35*(1+'Допущения'!$B$14)^2+H41/(1+'Допущения'!$B$9)*'Допущения'!E36+'Допущения'!C36*'Допущения'!$B$8*$B41*'Допущения'!F36*(1+'Допущения'!$B$14)^2+I41/(1+'Допущения'!$B$9)*'Допущения'!E37+'Допущения'!C37*'Допущения'!$B$8*$B41*'Допущения'!F37*(1+'Допущения'!$B$14)^2</x:f>
        <x:v>952198.3819554477</x:v>
      </x:c>
      <x:c r="M41" s="9" t="n">
        <x:f>J41*'Допущения'!$B$11</x:f>
        <x:v>149067.0345453559</x:v>
      </x:c>
      <x:c r="N41" s="9" t="n">
        <x:f>'Инвестиции'!$C$35*(1+'Допущения'!$B$14)^2</x:f>
        <x:v>1963195.62222</x:v>
      </x:c>
      <x:c r="O41" s="9" t="n">
        <x:f>K41*'Допущения'!$B$10</x:f>
        <x:v>425905.8129867311</x:v>
      </x:c>
      <x:c r="P41" s="9" t="n">
        <x:f>K41*'Допущения'!$B$12</x:f>
        <x:v>141968.60432891038</x:v>
      </x:c>
      <x:c r="Q41" s="7" t="n">
        <x:f>K41-L41-M41-N41</x:f>
        <x:v>4033969.1777247153</x:v>
      </x:c>
      <x:c r="R41" s="7" t="n">
        <x:f>Q41-O41-P41</x:f>
        <x:v>3466094.760409074</x:v>
      </x:c>
      <x:c r="S41" s="7" t="n">
        <x:f>S40+R41</x:f>
        <x:v>47324868.48531501</x:v>
      </x:c>
      <x:c r="T41" s="7" t="n">
        <x:f>IF(S41&gt;=0,A41,999)</x:f>
        <x:v>35</x:v>
      </x:c>
      <x:c r="U41" s="22" t="n">
        <x:f>'Допущения'!C31*'Допущения'!$B$8*B41*'Допущения'!$B$17/'Допущения'!$B$18/'Допущения'!$B$16</x:f>
        <x:v>38.388906009245</x:v>
      </x:c>
      <x:c r="V41" s="7"/>
      <x:c r="W41" s="7"/>
    </x:row>
    <x:row r="42" ht="23" customHeight="1">
      <x:c r="A42" s="1" t="n">
        <x:v>36</x:v>
      </x:c>
      <x:c r="B42" s="17" t="n">
        <x:f>'Допущения'!C53*'Допущения'!D53</x:f>
        <x:v>1.271186440677966</x:v>
      </x:c>
      <x:c r="C42" s="9" t="n">
        <x:f>'Допущения'!C31*'Допущения'!$B$8*'Допущения'!D31*$B42*(1+'Допущения'!$B$13)^2</x:f>
        <x:v>4199950.258474576</x:v>
      </x:c>
      <x:c r="D42" s="9" t="n">
        <x:f>'Допущения'!C32*'Допущения'!$B$8*'Допущения'!D32*$B42*(1+'Допущения'!$B$13)^2</x:f>
        <x:v>287996.58915254235</x:v>
      </x:c>
      <x:c r="E42" s="9" t="n">
        <x:f>'Допущения'!C33*'Допущения'!$B$8*'Допущения'!D33*$B42*(1+'Допущения'!$B$13)^2</x:f>
        <x:v>671992.0413559322</x:v>
      </x:c>
      <x:c r="F42" s="9" t="n">
        <x:f>'Допущения'!C34*'Допущения'!$B$8*'Допущения'!D34*$B42*(1+'Допущения'!$B$13)^2</x:f>
        <x:v>895989.3884745762</x:v>
      </x:c>
      <x:c r="G42" s="9" t="n">
        <x:f>'Допущения'!C35*'Допущения'!$B$8*'Допущения'!D35*$B42*(1+'Допущения'!$B$13)^2</x:f>
        <x:v>1499982.2351694915</x:v>
      </x:c>
      <x:c r="H42" s="9" t="n">
        <x:f>'Допущения'!C36*'Допущения'!$B$8*'Допущения'!D36*$B42*(1+'Допущения'!$B$13)^2</x:f>
        <x:v>107998.72093220337</x:v>
      </x:c>
      <x:c r="I42" s="9" t="n">
        <x:f>'Допущения'!C37*'Допущения'!$B$8*'Допущения'!D37*$B42*(1+'Допущения'!$B$13)^2</x:f>
        <x:v>99998.8156779661</x:v>
      </x:c>
      <x:c r="J42" s="7" t="n">
        <x:f>SUM(C42:I42)</x:f>
        <x:v>7763908.049237288</x:v>
      </x:c>
      <x:c r="K42" s="9" t="n">
        <x:f>J42/(1+'Допущения'!$B$9)</x:f>
        <x:v>7394198.14213075</x:v>
      </x:c>
      <x:c r="L42" s="9" t="n">
        <x:f>C42/(1+'Допущения'!$B$9)*'Допущения'!E31+'Допущения'!C31*'Допущения'!$B$8*$B42*'Допущения'!F31*(1+'Допущения'!$B$14)^2+D42/(1+'Допущения'!$B$9)*'Допущения'!E32+'Допущения'!C32*'Допущения'!$B$8*$B42*'Допущения'!F32*(1+'Допущения'!$B$14)^2+E42/(1+'Допущения'!$B$9)*'Допущения'!E33+'Допущения'!C33*'Допущения'!$B$8*$B42*'Допущения'!F33*(1+'Допущения'!$B$14)^2+F42/(1+'Допущения'!$B$9)*'Допущения'!E34+'Допущения'!C34*'Допущения'!$B$8*$B42*'Допущения'!F34*(1+'Допущения'!$B$14)^2+G42/(1+'Допущения'!$B$9)*'Допущения'!E35+'Допущения'!C35*'Допущения'!$B$8*$B42*'Допущения'!F35*(1+'Допущения'!$B$14)^2+H42/(1+'Допущения'!$B$9)*'Допущения'!E36+'Допущения'!C36*'Допущения'!$B$8*$B42*'Допущения'!F36*(1+'Допущения'!$B$14)^2+I42/(1+'Допущения'!$B$9)*'Допущения'!E37+'Допущения'!C37*'Допущения'!$B$8*$B42*'Допущения'!F37*(1+'Допущения'!$B$14)^2</x:f>
        <x:v>991873.3145369248</x:v>
      </x:c>
      <x:c r="M42" s="9" t="n">
        <x:f>J42*'Допущения'!$B$11</x:f>
        <x:v>155278.16098474574</x:v>
      </x:c>
      <x:c r="N42" s="9" t="n">
        <x:f>'Инвестиции'!$C$35*(1+'Допущения'!$B$14)^2</x:f>
        <x:v>1963195.62222</x:v>
      </x:c>
      <x:c r="O42" s="9" t="n">
        <x:f>K42*'Допущения'!$B$10</x:f>
        <x:v>443651.888527845</x:v>
      </x:c>
      <x:c r="P42" s="9" t="n">
        <x:f>K42*'Допущения'!$B$12</x:f>
        <x:v>147883.962842615</x:v>
      </x:c>
      <x:c r="Q42" s="7" t="n">
        <x:f>K42-L42-M42-N42</x:f>
        <x:v>4283851.044389079</x:v>
      </x:c>
      <x:c r="R42" s="7" t="n">
        <x:f>Q42-O42-P42</x:f>
        <x:v>3692315.1930186194</x:v>
      </x:c>
      <x:c r="S42" s="7" t="n">
        <x:f>S41+R42</x:f>
        <x:v>51017183.67833363</x:v>
      </x:c>
      <x:c r="T42" s="7" t="n">
        <x:f>IF(S42&gt;=0,A42,999)</x:f>
        <x:v>36</x:v>
      </x:c>
      <x:c r="U42" s="22" t="n">
        <x:f>'Допущения'!C31*'Допущения'!$B$8*B42*'Допущения'!$B$17/'Допущения'!$B$18/'Допущения'!$B$16</x:f>
        <x:v>39.9884437596302</x:v>
      </x:c>
      <x:c r="V42" s="7"/>
      <x:c r="W42" s="7"/>
    </x:row>
    <x:row r="43" ht="23" customHeight="1">
      <x:c r="A43" s="1" t="n">
        <x:v>37</x:v>
      </x:c>
      <x:c r="B43" s="17" t="n">
        <x:f>'Допущения'!C42*'Допущения'!D53</x:f>
        <x:v>1.1186440677966103</x:v>
      </x:c>
      <x:c r="C43" s="9" t="n">
        <x:f>'Допущения'!C31*'Допущения'!$B$8*'Допущения'!D31*$B43*(1+'Допущения'!$B$13)^3</x:f>
        <x:v>3806834.914281357</x:v>
      </x:c>
      <x:c r="D43" s="9" t="n">
        <x:f>'Допущения'!C32*'Допущения'!$B$8*'Допущения'!D32*$B43*(1+'Допущения'!$B$13)^3</x:f>
        <x:v>261040.1084078645</x:v>
      </x:c>
      <x:c r="E43" s="9" t="n">
        <x:f>'Допущения'!C33*'Допущения'!$B$8*'Допущения'!D33*$B43*(1+'Допущения'!$B$13)^3</x:f>
        <x:v>609093.5862850171</x:v>
      </x:c>
      <x:c r="F43" s="9" t="n">
        <x:f>'Допущения'!C34*'Допущения'!$B$8*'Допущения'!D34*$B43*(1+'Допущения'!$B$13)^3</x:f>
        <x:v>812124.781713356</x:v>
      </x:c>
      <x:c r="G43" s="9" t="n">
        <x:f>'Допущения'!C35*'Допущения'!$B$8*'Допущения'!D35*$B43*(1+'Допущения'!$B$13)^3</x:f>
        <x:v>1359583.8979576274</x:v>
      </x:c>
      <x:c r="H43" s="9" t="n">
        <x:f>'Допущения'!C36*'Допущения'!$B$8*'Допущения'!D36*$B43*(1+'Допущения'!$B$13)^3</x:f>
        <x:v>97890.04065294916</x:v>
      </x:c>
      <x:c r="I43" s="9" t="n">
        <x:f>'Допущения'!C37*'Допущения'!$B$8*'Допущения'!D37*$B43*(1+'Допущения'!$B$13)^3</x:f>
        <x:v>90638.92653050848</x:v>
      </x:c>
      <x:c r="J43" s="7" t="n">
        <x:f>SUM(C43:I43)</x:f>
        <x:v>7037206.2558286805</x:v>
      </x:c>
      <x:c r="K43" s="9" t="n">
        <x:f>J43/(1+'Допущения'!$B$9)</x:f>
        <x:v>6702101.196027314</x:v>
      </x:c>
      <x:c r="L43" s="9" t="n">
        <x:f>C43/(1+'Допущения'!$B$9)*'Допущения'!E31+'Допущения'!C31*'Допущения'!$B$8*$B43*'Допущения'!F31*(1+'Допущения'!$B$14)^3+D43/(1+'Допущения'!$B$9)*'Допущения'!E32+'Допущения'!C32*'Допущения'!$B$8*$B43*'Допущения'!F32*(1+'Допущения'!$B$14)^3+E43/(1+'Допущения'!$B$9)*'Допущения'!E33+'Допущения'!C33*'Допущения'!$B$8*$B43*'Допущения'!F33*(1+'Допущения'!$B$14)^3+F43/(1+'Допущения'!$B$9)*'Допущения'!E34+'Допущения'!C34*'Допущения'!$B$8*$B43*'Допущения'!F34*(1+'Допущения'!$B$14)^3+G43/(1+'Допущения'!$B$9)*'Допущения'!E35+'Допущения'!C35*'Допущения'!$B$8*$B43*'Допущения'!F35*(1+'Допущения'!$B$14)^3+H43/(1+'Допущения'!$B$9)*'Допущения'!E36+'Допущения'!C36*'Допущения'!$B$8*$B43*'Допущения'!F36*(1+'Допущения'!$B$14)^3+I43/(1+'Допущения'!$B$9)*'Допущения'!E37+'Допущения'!C37*'Допущения'!$B$8*$B43*'Допущения'!F37*(1+'Допущения'!$B$14)^3</x:f>
        <x:v>899491.2201564384</x:v>
      </x:c>
      <x:c r="M43" s="9" t="n">
        <x:f>J43*'Допущения'!$B$11</x:f>
        <x:v>140744.12511657362</x:v>
      </x:c>
      <x:c r="N43" s="9" t="n">
        <x:f>'Инвестиции'!$C$35*(1+'Допущения'!$B$14)^3</x:f>
        <x:v>2061355.4033310004</x:v>
      </x:c>
      <x:c r="O43" s="9" t="n">
        <x:f>K43*'Допущения'!$B$10</x:f>
        <x:v>402126.07176163886</x:v>
      </x:c>
      <x:c r="P43" s="9" t="n">
        <x:f>K43*'Допущения'!$B$12</x:f>
        <x:v>134042.0239205463</x:v>
      </x:c>
      <x:c r="Q43" s="7" t="n">
        <x:f>K43-L43-M43-N43</x:f>
        <x:v>3600510.4474233016</x:v>
      </x:c>
      <x:c r="R43" s="7" t="n">
        <x:f>Q43-O43-P43</x:f>
        <x:v>3064342.3517411165</x:v>
      </x:c>
      <x:c r="S43" s="7" t="n">
        <x:f>S42+R43</x:f>
        <x:v>54081526.030074745</x:v>
      </x:c>
      <x:c r="T43" s="7" t="n">
        <x:f>IF(S43&gt;=0,A43,999)</x:f>
        <x:v>37</x:v>
      </x:c>
      <x:c r="U43" s="22" t="n">
        <x:f>'Допущения'!C31*'Допущения'!$B$8*B43*'Допущения'!$B$17/'Допущения'!$B$18/'Допущения'!$B$16</x:f>
        <x:v>35.189830508474586</x:v>
      </x:c>
      <x:c r="V43" s="7"/>
      <x:c r="W43" s="7"/>
    </x:row>
    <x:row r="44" ht="23" customHeight="1">
      <x:c r="A44" s="1" t="n">
        <x:v>38</x:v>
      </x:c>
      <x:c r="B44" s="17" t="n">
        <x:f>'Допущения'!C43*'Допущения'!D53</x:f>
        <x:v>1.0677966101694916</x:v>
      </x:c>
      <x:c r="C44" s="9" t="n">
        <x:f>'Допущения'!C31*'Допущения'!$B$8*'Допущения'!D31*$B44*(1+'Допущения'!$B$13)^3</x:f>
        <x:v>3633796.963632204</x:v>
      </x:c>
      <x:c r="D44" s="9" t="n">
        <x:f>'Допущения'!C32*'Допущения'!$B$8*'Допущения'!D32*$B44*(1+'Допущения'!$B$13)^3</x:f>
        <x:v>249174.64893477972</x:v>
      </x:c>
      <x:c r="E44" s="9" t="n">
        <x:f>'Допущения'!C33*'Допущения'!$B$8*'Допущения'!D33*$B44*(1+'Допущения'!$B$13)^3</x:f>
        <x:v>581407.5141811527</x:v>
      </x:c>
      <x:c r="F44" s="9" t="n">
        <x:f>'Допущения'!C34*'Допущения'!$B$8*'Допущения'!D34*$B44*(1+'Допущения'!$B$13)^3</x:f>
        <x:v>775210.0189082035</x:v>
      </x:c>
      <x:c r="G44" s="9" t="n">
        <x:f>'Допущения'!C35*'Допущения'!$B$8*'Допущения'!D35*$B44*(1+'Допущения'!$B$13)^3</x:f>
        <x:v>1297784.629868644</x:v>
      </x:c>
      <x:c r="H44" s="9" t="n">
        <x:f>'Допущения'!C36*'Допущения'!$B$8*'Допущения'!D36*$B44*(1+'Допущения'!$B$13)^3</x:f>
        <x:v>93440.49335054237</x:v>
      </x:c>
      <x:c r="I44" s="9" t="n">
        <x:f>'Допущения'!C37*'Допущения'!$B$8*'Допущения'!D37*$B44*(1+'Допущения'!$B$13)^3</x:f>
        <x:v>86518.97532457627</x:v>
      </x:c>
      <x:c r="J44" s="7" t="n">
        <x:f>SUM(C44:I44)</x:f>
        <x:v>6717333.244200103</x:v>
      </x:c>
      <x:c r="K44" s="9" t="n">
        <x:f>J44/(1+'Допущения'!$B$9)</x:f>
        <x:v>6397460.232571526</x:v>
      </x:c>
      <x:c r="L44" s="9" t="n">
        <x:f>C44/(1+'Допущения'!$B$9)*'Допущения'!E31+'Допущения'!C31*'Допущения'!$B$8*$B44*'Допущения'!F31*(1+'Допущения'!$B$14)^3+D44/(1+'Допущения'!$B$9)*'Допущения'!E32+'Допущения'!C32*'Допущения'!$B$8*$B44*'Допущения'!F32*(1+'Допущения'!$B$14)^3+E44/(1+'Допущения'!$B$9)*'Допущения'!E33+'Допущения'!C33*'Допущения'!$B$8*$B44*'Допущения'!F33*(1+'Допущения'!$B$14)^3+F44/(1+'Допущения'!$B$9)*'Допущения'!E34+'Допущения'!C34*'Допущения'!$B$8*$B44*'Допущения'!F34*(1+'Допущения'!$B$14)^3+G44/(1+'Допущения'!$B$9)*'Допущения'!E35+'Допущения'!C35*'Допущения'!$B$8*$B44*'Допущения'!F35*(1+'Допущения'!$B$14)^3+H44/(1+'Допущения'!$B$9)*'Допущения'!E36+'Допущения'!C36*'Допущения'!$B$8*$B44*'Допущения'!F36*(1+'Допущения'!$B$14)^3+I44/(1+'Допущения'!$B$9)*'Допущения'!E37+'Допущения'!C37*'Допущения'!$B$8*$B44*'Допущения'!F37*(1+'Допущения'!$B$14)^3</x:f>
        <x:v>858605.2556038728</x:v>
      </x:c>
      <x:c r="M44" s="9" t="n">
        <x:f>J44*'Допущения'!$B$11</x:f>
        <x:v>134346.66488400206</x:v>
      </x:c>
      <x:c r="N44" s="9" t="n">
        <x:f>'Инвестиции'!$C$35*(1+'Допущения'!$B$14)^3</x:f>
        <x:v>2061355.4033310004</x:v>
      </x:c>
      <x:c r="O44" s="9" t="n">
        <x:f>K44*'Допущения'!$B$10</x:f>
        <x:v>383847.61395429156</x:v>
      </x:c>
      <x:c r="P44" s="9" t="n">
        <x:f>K44*'Допущения'!$B$12</x:f>
        <x:v>127949.20465143053</x:v>
      </x:c>
      <x:c r="Q44" s="7" t="n">
        <x:f>K44-L44-M44-N44</x:f>
        <x:v>3343152.908752651</x:v>
      </x:c>
      <x:c r="R44" s="7" t="n">
        <x:f>Q44-O44-P44</x:f>
        <x:v>2831356.0901469286</x:v>
      </x:c>
      <x:c r="S44" s="7" t="n">
        <x:f>S43+R44</x:f>
        <x:v>56912882.120221674</x:v>
      </x:c>
      <x:c r="T44" s="7" t="n">
        <x:f>IF(S44&gt;=0,A44,999)</x:f>
        <x:v>38</x:v>
      </x:c>
      <x:c r="U44" s="22" t="n">
        <x:f>'Допущения'!C31*'Допущения'!$B$8*B44*'Допущения'!$B$17/'Допущения'!$B$18/'Допущения'!$B$16</x:f>
        <x:v>33.59029275808938</x:v>
      </x:c>
      <x:c r="V44" s="7"/>
      <x:c r="W44" s="7"/>
    </x:row>
    <x:row r="45" ht="23" customHeight="1">
      <x:c r="A45" s="1" t="n">
        <x:v>39</x:v>
      </x:c>
      <x:c r="B45" s="17" t="n">
        <x:f>'Допущения'!C44*'Допущения'!D53</x:f>
        <x:v>1.0169491525423728</x:v>
      </x:c>
      <x:c r="C45" s="9" t="n">
        <x:f>'Допущения'!C31*'Допущения'!$B$8*'Допущения'!D31*$B45*(1+'Допущения'!$B$13)^3</x:f>
        <x:v>3460759.012983051</x:v>
      </x:c>
      <x:c r="D45" s="9" t="n">
        <x:f>'Допущения'!C32*'Допущения'!$B$8*'Допущения'!D32*$B45*(1+'Допущения'!$B$13)^3</x:f>
        <x:v>237309.18946169494</x:v>
      </x:c>
      <x:c r="E45" s="9" t="n">
        <x:f>'Допущения'!C33*'Допущения'!$B$8*'Допущения'!D33*$B45*(1+'Допущения'!$B$13)^3</x:f>
        <x:v>553721.4420772882</x:v>
      </x:c>
      <x:c r="F45" s="9" t="n">
        <x:f>'Допущения'!C34*'Допущения'!$B$8*'Допущения'!D34*$B45*(1+'Допущения'!$B$13)^3</x:f>
        <x:v>738295.2561030509</x:v>
      </x:c>
      <x:c r="G45" s="9" t="n">
        <x:f>'Допущения'!C35*'Допущения'!$B$8*'Допущения'!D35*$B45*(1+'Допущения'!$B$13)^3</x:f>
        <x:v>1235985.361779661</x:v>
      </x:c>
      <x:c r="H45" s="9" t="n">
        <x:f>'Допущения'!C36*'Допущения'!$B$8*'Допущения'!D36*$B45*(1+'Допущения'!$B$13)^3</x:f>
        <x:v>88990.94604813559</x:v>
      </x:c>
      <x:c r="I45" s="9" t="n">
        <x:f>'Допущения'!C37*'Допущения'!$B$8*'Допущения'!D37*$B45*(1+'Допущения'!$B$13)^3</x:f>
        <x:v>82399.02411864407</x:v>
      </x:c>
      <x:c r="J45" s="7" t="n">
        <x:f>SUM(C45:I45)</x:f>
        <x:v>6397460.232571526</x:v>
      </x:c>
      <x:c r="K45" s="9" t="n">
        <x:f>J45/(1+'Допущения'!$B$9)</x:f>
        <x:v>6092819.2691157395</x:v>
      </x:c>
      <x:c r="L45" s="9" t="n">
        <x:f>C45/(1+'Допущения'!$B$9)*'Допущения'!E31+'Допущения'!C31*'Допущения'!$B$8*$B45*'Допущения'!F31*(1+'Допущения'!$B$14)^3+D45/(1+'Допущения'!$B$9)*'Допущения'!E32+'Допущения'!C32*'Допущения'!$B$8*$B45*'Допущения'!F32*(1+'Допущения'!$B$14)^3+E45/(1+'Допущения'!$B$9)*'Допущения'!E33+'Допущения'!C33*'Допущения'!$B$8*$B45*'Допущения'!F33*(1+'Допущения'!$B$14)^3+F45/(1+'Допущения'!$B$9)*'Допущения'!E34+'Допущения'!C34*'Допущения'!$B$8*$B45*'Допущения'!F34*(1+'Допущения'!$B$14)^3+G45/(1+'Допущения'!$B$9)*'Допущения'!E35+'Допущения'!C35*'Допущения'!$B$8*$B45*'Допущения'!F35*(1+'Допущения'!$B$14)^3+H45/(1+'Допущения'!$B$9)*'Допущения'!E36+'Допущения'!C36*'Допущения'!$B$8*$B45*'Допущения'!F36*(1+'Допущения'!$B$14)^3+I45/(1+'Допущения'!$B$9)*'Допущения'!E37+'Допущения'!C37*'Допущения'!$B$8*$B45*'Допущения'!F37*(1+'Допущения'!$B$14)^3</x:f>
        <x:v>817719.2910513075</x:v>
      </x:c>
      <x:c r="M45" s="9" t="n">
        <x:f>J45*'Допущения'!$B$11</x:f>
        <x:v>127949.20465143053</x:v>
      </x:c>
      <x:c r="N45" s="9" t="n">
        <x:f>'Инвестиции'!$C$35*(1+'Допущения'!$B$14)^3</x:f>
        <x:v>2061355.4033310004</x:v>
      </x:c>
      <x:c r="O45" s="9" t="n">
        <x:f>K45*'Допущения'!$B$10</x:f>
        <x:v>365569.1561469444</x:v>
      </x:c>
      <x:c r="P45" s="9" t="n">
        <x:f>K45*'Допущения'!$B$12</x:f>
        <x:v>121856.3853823148</x:v>
      </x:c>
      <x:c r="Q45" s="7" t="n">
        <x:f>K45-L45-M45-N45</x:f>
        <x:v>3085795.370082001</x:v>
      </x:c>
      <x:c r="R45" s="7" t="n">
        <x:f>Q45-O45-P45</x:f>
        <x:v>2598369.828552742</x:v>
      </x:c>
      <x:c r="S45" s="7" t="n">
        <x:f>S44+R45</x:f>
        <x:v>59511251.94877442</x:v>
      </x:c>
      <x:c r="T45" s="7" t="n">
        <x:f>IF(S45&gt;=0,A45,999)</x:f>
        <x:v>39</x:v>
      </x:c>
      <x:c r="U45" s="22" t="n">
        <x:f>'Допущения'!C31*'Допущения'!$B$8*B45*'Допущения'!$B$17/'Допущения'!$B$18/'Допущения'!$B$16</x:f>
        <x:v>31.990755007704163</x:v>
      </x:c>
      <x:c r="V45" s="7"/>
      <x:c r="W45" s="7"/>
    </x:row>
    <x:row r="46" ht="23" customHeight="1">
      <x:c r="A46" s="1" t="n">
        <x:v>40</x:v>
      </x:c>
      <x:c r="B46" s="17" t="n">
        <x:f>'Допущения'!C45*'Допущения'!D53</x:f>
        <x:v>0.9152542372881356</x:v>
      </x:c>
      <x:c r="C46" s="9" t="n">
        <x:f>'Допущения'!C31*'Допущения'!$B$8*'Допущения'!D31*$B46*(1+'Допущения'!$B$13)^3</x:f>
        <x:v>3114683.111684746</x:v>
      </x:c>
      <x:c r="D46" s="9" t="n">
        <x:f>'Допущения'!C32*'Допущения'!$B$8*'Допущения'!D32*$B46*(1+'Допущения'!$B$13)^3</x:f>
        <x:v>213578.27051552545</x:v>
      </x:c>
      <x:c r="E46" s="9" t="n">
        <x:f>'Допущения'!C33*'Допущения'!$B$8*'Допущения'!D33*$B46*(1+'Допущения'!$B$13)^3</x:f>
        <x:v>498349.2978695594</x:v>
      </x:c>
      <x:c r="F46" s="9" t="n">
        <x:f>'Допущения'!C34*'Допущения'!$B$8*'Допущения'!D34*$B46*(1+'Допущения'!$B$13)^3</x:f>
        <x:v>664465.7304927458</x:v>
      </x:c>
      <x:c r="G46" s="9" t="n">
        <x:f>'Допущения'!C35*'Допущения'!$B$8*'Допущения'!D35*$B46*(1+'Допущения'!$B$13)^3</x:f>
        <x:v>1112386.8256016949</x:v>
      </x:c>
      <x:c r="H46" s="9" t="n">
        <x:f>'Допущения'!C36*'Допущения'!$B$8*'Допущения'!D36*$B46*(1+'Допущения'!$B$13)^3</x:f>
        <x:v>80091.85144332203</x:v>
      </x:c>
      <x:c r="I46" s="9" t="n">
        <x:f>'Допущения'!C37*'Допущения'!$B$8*'Допущения'!D37*$B46*(1+'Допущения'!$B$13)^3</x:f>
        <x:v>74159.12170677967</x:v>
      </x:c>
      <x:c r="J46" s="7" t="n">
        <x:f>SUM(C46:I46)</x:f>
        <x:v>5757714.209314374</x:v>
      </x:c>
      <x:c r="K46" s="9" t="n">
        <x:f>J46/(1+'Допущения'!$B$9)</x:f>
        <x:v>5483537.342204166</x:v>
      </x:c>
      <x:c r="L46" s="9" t="n">
        <x:f>C46/(1+'Допущения'!$B$9)*'Допущения'!E31+'Допущения'!C31*'Допущения'!$B$8*$B46*'Допущения'!F31*(1+'Допущения'!$B$14)^3+D46/(1+'Допущения'!$B$9)*'Допущения'!E32+'Допущения'!C32*'Допущения'!$B$8*$B46*'Допущения'!F32*(1+'Допущения'!$B$14)^3+E46/(1+'Допущения'!$B$9)*'Допущения'!E33+'Допущения'!C33*'Допущения'!$B$8*$B46*'Допущения'!F33*(1+'Допущения'!$B$14)^3+F46/(1+'Допущения'!$B$9)*'Допущения'!E34+'Допущения'!C34*'Допущения'!$B$8*$B46*'Допущения'!F34*(1+'Допущения'!$B$14)^3+G46/(1+'Допущения'!$B$9)*'Допущения'!E35+'Допущения'!C35*'Допущения'!$B$8*$B46*'Допущения'!F35*(1+'Допущения'!$B$14)^3+H46/(1+'Допущения'!$B$9)*'Допущения'!E36+'Допущения'!C36*'Допущения'!$B$8*$B46*'Допущения'!F36*(1+'Допущения'!$B$14)^3+I46/(1+'Допущения'!$B$9)*'Допущения'!E37+'Допущения'!C37*'Допущения'!$B$8*$B46*'Допущения'!F37*(1+'Допущения'!$B$14)^3</x:f>
        <x:v>735947.3619461766</x:v>
      </x:c>
      <x:c r="M46" s="9" t="n">
        <x:f>J46*'Допущения'!$B$11</x:f>
        <x:v>115154.28418628749</x:v>
      </x:c>
      <x:c r="N46" s="9" t="n">
        <x:f>'Инвестиции'!$C$35*(1+'Допущения'!$B$14)^3</x:f>
        <x:v>2061355.4033310004</x:v>
      </x:c>
      <x:c r="O46" s="9" t="n">
        <x:f>K46*'Допущения'!$B$10</x:f>
        <x:v>329012.2405322499</x:v>
      </x:c>
      <x:c r="P46" s="9" t="n">
        <x:f>K46*'Допущения'!$B$12</x:f>
        <x:v>109670.74684408332</x:v>
      </x:c>
      <x:c r="Q46" s="7" t="n">
        <x:f>K46-L46-M46-N46</x:f>
        <x:v>2571080.2927407008</x:v>
      </x:c>
      <x:c r="R46" s="7" t="n">
        <x:f>Q46-O46-P46</x:f>
        <x:v>2132397.305364367</x:v>
      </x:c>
      <x:c r="S46" s="7" t="n">
        <x:f>S45+R46</x:f>
        <x:v>61643649.25413879</x:v>
      </x:c>
      <x:c r="T46" s="7" t="n">
        <x:f>IF(S46&gt;=0,A46,999)</x:f>
        <x:v>40</x:v>
      </x:c>
      <x:c r="U46" s="22" t="n">
        <x:f>'Допущения'!C31*'Допущения'!$B$8*B46*'Допущения'!$B$17/'Допущения'!$B$18/'Допущения'!$B$16</x:f>
        <x:v>28.791679506933747</x:v>
      </x:c>
      <x:c r="V46" s="7"/>
      <x:c r="W46" s="7"/>
    </x:row>
    <x:row r="47" ht="23" customHeight="1">
      <x:c r="A47" s="1" t="n">
        <x:v>41</x:v>
      </x:c>
      <x:c r="B47" s="17" t="n">
        <x:f>'Допущения'!C46*'Допущения'!D53</x:f>
        <x:v>0.8644067796610169</x:v>
      </x:c>
      <x:c r="C47" s="9" t="n">
        <x:f>'Допущения'!C31*'Допущения'!$B$8*'Допущения'!D31*$B47*(1+'Допущения'!$B$13)^3</x:f>
        <x:v>2941645.161035593</x:v>
      </x:c>
      <x:c r="D47" s="9" t="n">
        <x:f>'Допущения'!C32*'Допущения'!$B$8*'Допущения'!D32*$B47*(1+'Допущения'!$B$13)^3</x:f>
        <x:v>201712.81104244068</x:v>
      </x:c>
      <x:c r="E47" s="9" t="n">
        <x:f>'Допущения'!C33*'Допущения'!$B$8*'Допущения'!D33*$B47*(1+'Допущения'!$B$13)^3</x:f>
        <x:v>470663.2257656949</x:v>
      </x:c>
      <x:c r="F47" s="9" t="n">
        <x:f>'Допущения'!C34*'Допущения'!$B$8*'Допущения'!D34*$B47*(1+'Допущения'!$B$13)^3</x:f>
        <x:v>627550.9676875932</x:v>
      </x:c>
      <x:c r="G47" s="9" t="n">
        <x:f>'Допущения'!C35*'Допущения'!$B$8*'Допущения'!D35*$B47*(1+'Допущения'!$B$13)^3</x:f>
        <x:v>1050587.5575127117</x:v>
      </x:c>
      <x:c r="H47" s="9" t="n">
        <x:f>'Допущения'!C36*'Допущения'!$B$8*'Допущения'!D36*$B47*(1+'Допущения'!$B$13)^3</x:f>
        <x:v>75642.30414091524</x:v>
      </x:c>
      <x:c r="I47" s="9" t="n">
        <x:f>'Допущения'!C37*'Допущения'!$B$8*'Допущения'!D37*$B47*(1+'Допущения'!$B$13)^3</x:f>
        <x:v>70039.17050084745</x:v>
      </x:c>
      <x:c r="J47" s="7" t="n">
        <x:f>SUM(C47:I47)</x:f>
        <x:v>5437841.197685796</x:v>
      </x:c>
      <x:c r="K47" s="9" t="n">
        <x:f>J47/(1+'Допущения'!$B$9)</x:f>
        <x:v>5178896.378748377</x:v>
      </x:c>
      <x:c r="L47" s="9" t="n">
        <x:f>C47/(1+'Допущения'!$B$9)*'Допущения'!E31+'Допущения'!C31*'Допущения'!$B$8*$B47*'Допущения'!F31*(1+'Допущения'!$B$14)^3+D47/(1+'Допущения'!$B$9)*'Допущения'!E32+'Допущения'!C32*'Допущения'!$B$8*$B47*'Допущения'!F32*(1+'Допущения'!$B$14)^3+E47/(1+'Допущения'!$B$9)*'Допущения'!E33+'Допущения'!C33*'Допущения'!$B$8*$B47*'Допущения'!F33*(1+'Допущения'!$B$14)^3+F47/(1+'Допущения'!$B$9)*'Допущения'!E34+'Допущения'!C34*'Допущения'!$B$8*$B47*'Допущения'!F34*(1+'Допущения'!$B$14)^3+G47/(1+'Допущения'!$B$9)*'Допущения'!E35+'Допущения'!C35*'Допущения'!$B$8*$B47*'Допущения'!F35*(1+'Допущения'!$B$14)^3+H47/(1+'Допущения'!$B$9)*'Допущения'!E36+'Допущения'!C36*'Допущения'!$B$8*$B47*'Допущения'!F36*(1+'Допущения'!$B$14)^3+I47/(1+'Допущения'!$B$9)*'Допущения'!E37+'Допущения'!C37*'Допущения'!$B$8*$B47*'Допущения'!F37*(1+'Допущения'!$B$14)^3</x:f>
        <x:v>695061.3973936113</x:v>
      </x:c>
      <x:c r="M47" s="9" t="n">
        <x:f>J47*'Допущения'!$B$11</x:f>
        <x:v>108756.82395371592</x:v>
      </x:c>
      <x:c r="N47" s="9" t="n">
        <x:f>'Инвестиции'!$C$35*(1+'Допущения'!$B$14)^3</x:f>
        <x:v>2061355.4033310004</x:v>
      </x:c>
      <x:c r="O47" s="9" t="n">
        <x:f>K47*'Допущения'!$B$10</x:f>
        <x:v>310733.7827249026</x:v>
      </x:c>
      <x:c r="P47" s="9" t="n">
        <x:f>K47*'Допущения'!$B$12</x:f>
        <x:v>103577.92757496754</x:v>
      </x:c>
      <x:c r="Q47" s="7" t="n">
        <x:f>K47-L47-M47-N47</x:f>
        <x:v>2313722.754070049</x:v>
      </x:c>
      <x:c r="R47" s="7" t="n">
        <x:f>Q47-O47-P47</x:f>
        <x:v>1899411.0437701792</x:v>
      </x:c>
      <x:c r="S47" s="7" t="n">
        <x:f>S46+R47</x:f>
        <x:v>63543060.29790897</x:v>
      </x:c>
      <x:c r="T47" s="7" t="n">
        <x:f>IF(S47&gt;=0,A47,999)</x:f>
        <x:v>41</x:v>
      </x:c>
      <x:c r="U47" s="22" t="n">
        <x:f>'Допущения'!C31*'Допущения'!$B$8*B47*'Допущения'!$B$17/'Допущения'!$B$18/'Допущения'!$B$16</x:f>
        <x:v>27.192141756548537</x:v>
      </x:c>
      <x:c r="V47" s="7"/>
      <x:c r="W47" s="7"/>
    </x:row>
    <x:row r="48" ht="23" customHeight="1">
      <x:c r="A48" s="1" t="n">
        <x:v>42</x:v>
      </x:c>
      <x:c r="B48" s="17" t="n">
        <x:f>'Допущения'!C47*'Допущения'!D53</x:f>
        <x:v>0.7118644067796609</x:v>
      </x:c>
      <x:c r="C48" s="9" t="n">
        <x:f>'Допущения'!C31*'Допущения'!$B$8*'Допущения'!D31*$B48*(1+'Допущения'!$B$13)^3</x:f>
        <x:v>2422531.3090881356</x:v>
      </x:c>
      <x:c r="D48" s="9" t="n">
        <x:f>'Допущения'!C32*'Допущения'!$B$8*'Допущения'!D32*$B48*(1+'Допущения'!$B$13)^3</x:f>
        <x:v>166116.4326231864</x:v>
      </x:c>
      <x:c r="E48" s="9" t="n">
        <x:f>'Допущения'!C33*'Допущения'!$B$8*'Допущения'!D33*$B48*(1+'Допущения'!$B$13)^3</x:f>
        <x:v>387605.0094541017</x:v>
      </x:c>
      <x:c r="F48" s="9" t="n">
        <x:f>'Допущения'!C34*'Допущения'!$B$8*'Допущения'!D34*$B48*(1+'Допущения'!$B$13)^3</x:f>
        <x:v>516806.6792721355</x:v>
      </x:c>
      <x:c r="G48" s="9" t="n">
        <x:f>'Допущения'!C35*'Допущения'!$B$8*'Допущения'!D35*$B48*(1+'Допущения'!$B$13)^3</x:f>
        <x:v>865189.7532457625</x:v>
      </x:c>
      <x:c r="H48" s="9" t="n">
        <x:f>'Допущения'!C36*'Допущения'!$B$8*'Допущения'!D36*$B48*(1+'Допущения'!$B$13)^3</x:f>
        <x:v>62293.6622336949</x:v>
      </x:c>
      <x:c r="I48" s="9" t="n">
        <x:f>'Допущения'!C37*'Допущения'!$B$8*'Допущения'!D37*$B48*(1+'Допущения'!$B$13)^3</x:f>
        <x:v>57679.31688305084</x:v>
      </x:c>
      <x:c r="J48" s="7" t="n">
        <x:f>SUM(C48:I48)</x:f>
        <x:v>4478222.162800067</x:v>
      </x:c>
      <x:c r="K48" s="9" t="n">
        <x:f>J48/(1+'Допущения'!$B$9)</x:f>
        <x:v>4264973.488381016</x:v>
      </x:c>
      <x:c r="L48" s="9" t="n">
        <x:f>C48/(1+'Допущения'!$B$9)*'Допущения'!E31+'Допущения'!C31*'Допущения'!$B$8*$B48*'Допущения'!F31*(1+'Допущения'!$B$14)^3+D48/(1+'Допущения'!$B$9)*'Допущения'!E32+'Допущения'!C32*'Допущения'!$B$8*$B48*'Допущения'!F32*(1+'Допущения'!$B$14)^3+E48/(1+'Допущения'!$B$9)*'Допущения'!E33+'Допущения'!C33*'Допущения'!$B$8*$B48*'Допущения'!F33*(1+'Допущения'!$B$14)^3+F48/(1+'Допущения'!$B$9)*'Допущения'!E34+'Допущения'!C34*'Допущения'!$B$8*$B48*'Допущения'!F34*(1+'Допущения'!$B$14)^3+G48/(1+'Допущения'!$B$9)*'Допущения'!E35+'Допущения'!C35*'Допущения'!$B$8*$B48*'Допущения'!F35*(1+'Допущения'!$B$14)^3+H48/(1+'Допущения'!$B$9)*'Допущения'!E36+'Допущения'!C36*'Допущения'!$B$8*$B48*'Допущения'!F36*(1+'Допущения'!$B$14)^3+I48/(1+'Допущения'!$B$9)*'Допущения'!E37+'Допущения'!C37*'Допущения'!$B$8*$B48*'Допущения'!F37*(1+'Допущения'!$B$14)^3</x:f>
        <x:v>572403.5037359151</x:v>
      </x:c>
      <x:c r="M48" s="9" t="n">
        <x:f>J48*'Допущения'!$B$11</x:f>
        <x:v>89564.44325600134</x:v>
      </x:c>
      <x:c r="N48" s="9" t="n">
        <x:f>'Инвестиции'!$C$35*(1+'Допущения'!$B$14)^3</x:f>
        <x:v>2061355.4033310004</x:v>
      </x:c>
      <x:c r="O48" s="9" t="n">
        <x:f>K48*'Допущения'!$B$10</x:f>
        <x:v>255898.40930286096</x:v>
      </x:c>
      <x:c r="P48" s="9" t="n">
        <x:f>K48*'Допущения'!$B$12</x:f>
        <x:v>85299.46976762032</x:v>
      </x:c>
      <x:c r="Q48" s="7" t="n">
        <x:f>K48-L48-M48-N48</x:f>
        <x:v>1541650.1380580994</x:v>
      </x:c>
      <x:c r="R48" s="7" t="n">
        <x:f>Q48-O48-P48</x:f>
        <x:v>1200452.2589876181</x:v>
      </x:c>
      <x:c r="S48" s="7" t="n">
        <x:f>S47+R48</x:f>
        <x:v>64743512.55689659</x:v>
      </x:c>
      <x:c r="T48" s="7" t="n">
        <x:f>IF(S48&gt;=0,A48,999)</x:f>
        <x:v>42</x:v>
      </x:c>
      <x:c r="U48" s="22" t="n">
        <x:f>'Допущения'!C31*'Допущения'!$B$8*B48*'Допущения'!$B$17/'Допущения'!$B$18/'Допущения'!$B$16</x:f>
        <x:v>22.39352850539291</x:v>
      </x:c>
      <x:c r="V48" s="7"/>
      <x:c r="W48" s="7"/>
    </x:row>
    <x:row r="49" ht="23" customHeight="1">
      <x:c r="A49" s="1" t="n">
        <x:v>43</x:v>
      </x:c>
      <x:c r="B49" s="17" t="n">
        <x:f>'Допущения'!C48*'Допущения'!D53</x:f>
        <x:v>0.7627118644067796</x:v>
      </x:c>
      <x:c r="C49" s="9" t="n">
        <x:f>'Допущения'!C31*'Допущения'!$B$8*'Допущения'!D31*$B49*(1+'Допущения'!$B$13)^3</x:f>
        <x:v>2595569.259737288</x:v>
      </x:c>
      <x:c r="D49" s="9" t="n">
        <x:f>'Допущения'!C32*'Допущения'!$B$8*'Допущения'!D32*$B49*(1+'Допущения'!$B$13)^3</x:f>
        <x:v>177981.89209627119</x:v>
      </x:c>
      <x:c r="E49" s="9" t="n">
        <x:f>'Допущения'!C33*'Допущения'!$B$8*'Допущения'!D33*$B49*(1+'Допущения'!$B$13)^3</x:f>
        <x:v>415291.0815579661</x:v>
      </x:c>
      <x:c r="F49" s="9" t="n">
        <x:f>'Допущения'!C34*'Допущения'!$B$8*'Допущения'!D34*$B49*(1+'Допущения'!$B$13)^3</x:f>
        <x:v>553721.4420772882</x:v>
      </x:c>
      <x:c r="G49" s="9" t="n">
        <x:f>'Допущения'!C35*'Допущения'!$B$8*'Допущения'!D35*$B49*(1+'Допущения'!$B$13)^3</x:f>
        <x:v>926989.0213347457</x:v>
      </x:c>
      <x:c r="H49" s="9" t="n">
        <x:f>'Допущения'!C36*'Допущения'!$B$8*'Допущения'!D36*$B49*(1+'Допущения'!$B$13)^3</x:f>
        <x:v>66743.2095361017</x:v>
      </x:c>
      <x:c r="I49" s="9" t="n">
        <x:f>'Допущения'!C37*'Допущения'!$B$8*'Допущения'!D37*$B49*(1+'Допущения'!$B$13)^3</x:f>
        <x:v>61799.26808898305</x:v>
      </x:c>
      <x:c r="J49" s="7" t="n">
        <x:f>SUM(C49:I49)</x:f>
        <x:v>4798095.174428645</x:v>
      </x:c>
      <x:c r="K49" s="9" t="n">
        <x:f>J49/(1+'Допущения'!$B$9)</x:f>
        <x:v>4569614.451836804</x:v>
      </x:c>
      <x:c r="L49" s="9" t="n">
        <x:f>C49/(1+'Допущения'!$B$9)*'Допущения'!E31+'Допущения'!C31*'Допущения'!$B$8*$B49*'Допущения'!F31*(1+'Допущения'!$B$14)^3+D49/(1+'Допущения'!$B$9)*'Допущения'!E32+'Допущения'!C32*'Допущения'!$B$8*$B49*'Допущения'!F32*(1+'Допущения'!$B$14)^3+E49/(1+'Допущения'!$B$9)*'Допущения'!E33+'Допущения'!C33*'Допущения'!$B$8*$B49*'Допущения'!F33*(1+'Допущения'!$B$14)^3+F49/(1+'Допущения'!$B$9)*'Допущения'!E34+'Допущения'!C34*'Допущения'!$B$8*$B49*'Допущения'!F34*(1+'Допущения'!$B$14)^3+G49/(1+'Допущения'!$B$9)*'Допущения'!E35+'Допущения'!C35*'Допущения'!$B$8*$B49*'Допущения'!F35*(1+'Допущения'!$B$14)^3+H49/(1+'Допущения'!$B$9)*'Допущения'!E36+'Допущения'!C36*'Допущения'!$B$8*$B49*'Допущения'!F36*(1+'Допущения'!$B$14)^3+I49/(1+'Допущения'!$B$9)*'Допущения'!E37+'Допущения'!C37*'Допущения'!$B$8*$B49*'Допущения'!F37*(1+'Допущения'!$B$14)^3</x:f>
        <x:v>613289.4682884807</x:v>
      </x:c>
      <x:c r="M49" s="9" t="n">
        <x:f>J49*'Допущения'!$B$11</x:f>
        <x:v>95961.90348857289</x:v>
      </x:c>
      <x:c r="N49" s="9" t="n">
        <x:f>'Инвестиции'!$C$35*(1+'Допущения'!$B$14)^3</x:f>
        <x:v>2061355.4033310004</x:v>
      </x:c>
      <x:c r="O49" s="9" t="n">
        <x:f>K49*'Допущения'!$B$10</x:f>
        <x:v>274176.8671102082</x:v>
      </x:c>
      <x:c r="P49" s="9" t="n">
        <x:f>K49*'Допущения'!$B$12</x:f>
        <x:v>91392.28903673608</x:v>
      </x:c>
      <x:c r="Q49" s="7" t="n">
        <x:f>K49-L49-M49-N49</x:f>
        <x:v>1799007.67672875</x:v>
      </x:c>
      <x:c r="R49" s="7" t="n">
        <x:f>Q49-O49-P49</x:f>
        <x:v>1433438.5205818058</x:v>
      </x:c>
      <x:c r="S49" s="7" t="n">
        <x:f>S48+R49</x:f>
        <x:v>66176951.077478394</x:v>
      </x:c>
      <x:c r="T49" s="7" t="n">
        <x:f>IF(S49&gt;=0,A49,999)</x:f>
        <x:v>43</x:v>
      </x:c>
      <x:c r="U49" s="22" t="n">
        <x:f>'Допущения'!C31*'Допущения'!$B$8*B49*'Допущения'!$B$17/'Допущения'!$B$18/'Допущения'!$B$16</x:f>
        <x:v>23.993066255778118</x:v>
      </x:c>
      <x:c r="V49" s="7"/>
      <x:c r="W49" s="7"/>
    </x:row>
    <x:row r="50" ht="23" customHeight="1">
      <x:c r="A50" s="1" t="n">
        <x:v>44</x:v>
      </x:c>
      <x:c r="B50" s="17" t="n">
        <x:f>'Допущения'!C49*'Допущения'!D53</x:f>
        <x:v>0.8135593220338982</x:v>
      </x:c>
      <x:c r="C50" s="9" t="n">
        <x:f>'Допущения'!C31*'Допущения'!$B$8*'Допущения'!D31*$B50*(1+'Допущения'!$B$13)^3</x:f>
        <x:v>2768607.2103864406</x:v>
      </x:c>
      <x:c r="D50" s="9" t="n">
        <x:f>'Допущения'!C32*'Допущения'!$B$8*'Допущения'!D32*$B50*(1+'Допущения'!$B$13)^3</x:f>
        <x:v>189847.35156935593</x:v>
      </x:c>
      <x:c r="E50" s="9" t="n">
        <x:f>'Допущения'!C33*'Допущения'!$B$8*'Допущения'!D33*$B50*(1+'Допущения'!$B$13)^3</x:f>
        <x:v>442977.1536618305</x:v>
      </x:c>
      <x:c r="F50" s="9" t="n">
        <x:f>'Допущения'!C34*'Допущения'!$B$8*'Допущения'!D34*$B50*(1+'Допущения'!$B$13)^3</x:f>
        <x:v>590636.2048824406</x:v>
      </x:c>
      <x:c r="G50" s="9" t="n">
        <x:f>'Допущения'!C35*'Допущения'!$B$8*'Допущения'!D35*$B50*(1+'Допущения'!$B$13)^3</x:f>
        <x:v>988788.2894237288</x:v>
      </x:c>
      <x:c r="H50" s="9" t="n">
        <x:f>'Допущения'!C36*'Допущения'!$B$8*'Допущения'!D36*$B50*(1+'Допущения'!$B$13)^3</x:f>
        <x:v>71192.75683850847</x:v>
      </x:c>
      <x:c r="I50" s="9" t="n">
        <x:f>'Допущения'!C37*'Допущения'!$B$8*'Допущения'!D37*$B50*(1+'Допущения'!$B$13)^3</x:f>
        <x:v>65919.21929491525</x:v>
      </x:c>
      <x:c r="J50" s="7" t="n">
        <x:f>SUM(C50:I50)</x:f>
        <x:v>5117968.18605722</x:v>
      </x:c>
      <x:c r="K50" s="9" t="n">
        <x:f>J50/(1+'Допущения'!$B$9)</x:f>
        <x:v>4874255.415292591</x:v>
      </x:c>
      <x:c r="L50" s="9" t="n">
        <x:f>C50/(1+'Допущения'!$B$9)*'Допущения'!E31+'Допущения'!C31*'Допущения'!$B$8*$B50*'Допущения'!F31*(1+'Допущения'!$B$14)^3+D50/(1+'Допущения'!$B$9)*'Допущения'!E32+'Допущения'!C32*'Допущения'!$B$8*$B50*'Допущения'!F32*(1+'Допущения'!$B$14)^3+E50/(1+'Допущения'!$B$9)*'Допущения'!E33+'Допущения'!C33*'Допущения'!$B$8*$B50*'Допущения'!F33*(1+'Допущения'!$B$14)^3+F50/(1+'Допущения'!$B$9)*'Допущения'!E34+'Допущения'!C34*'Допущения'!$B$8*$B50*'Допущения'!F34*(1+'Допущения'!$B$14)^3+G50/(1+'Допущения'!$B$9)*'Допущения'!E35+'Допущения'!C35*'Допущения'!$B$8*$B50*'Допущения'!F35*(1+'Допущения'!$B$14)^3+H50/(1+'Допущения'!$B$9)*'Допущения'!E36+'Допущения'!C36*'Допущения'!$B$8*$B50*'Допущения'!F36*(1+'Допущения'!$B$14)^3+I50/(1+'Допущения'!$B$9)*'Допущения'!E37+'Допущения'!C37*'Допущения'!$B$8*$B50*'Допущения'!F37*(1+'Допущения'!$B$14)^3</x:f>
        <x:v>654175.4328410459</x:v>
      </x:c>
      <x:c r="M50" s="9" t="n">
        <x:f>J50*'Допущения'!$B$11</x:f>
        <x:v>102359.3637211444</x:v>
      </x:c>
      <x:c r="N50" s="9" t="n">
        <x:f>'Инвестиции'!$C$35*(1+'Допущения'!$B$14)^3</x:f>
        <x:v>2061355.4033310004</x:v>
      </x:c>
      <x:c r="O50" s="9" t="n">
        <x:f>K50*'Допущения'!$B$10</x:f>
        <x:v>292455.32491755544</x:v>
      </x:c>
      <x:c r="P50" s="9" t="n">
        <x:f>K50*'Допущения'!$B$12</x:f>
        <x:v>97485.10830585181</x:v>
      </x:c>
      <x:c r="Q50" s="7" t="n">
        <x:f>K50-L50-M50-N50</x:f>
        <x:v>2056365.2153994003</x:v>
      </x:c>
      <x:c r="R50" s="7" t="n">
        <x:f>Q50-O50-P50</x:f>
        <x:v>1666424.782175993</x:v>
      </x:c>
      <x:c r="S50" s="7" t="n">
        <x:f>S49+R50</x:f>
        <x:v>67843375.85965438</x:v>
      </x:c>
      <x:c r="T50" s="7" t="n">
        <x:f>IF(S50&gt;=0,A50,999)</x:f>
        <x:v>44</x:v>
      </x:c>
      <x:c r="U50" s="22" t="n">
        <x:f>'Допущения'!C31*'Допущения'!$B$8*B50*'Допущения'!$B$17/'Допущения'!$B$18/'Допущения'!$B$16</x:f>
        <x:v>25.592604006163324</x:v>
      </x:c>
      <x:c r="V50" s="7"/>
      <x:c r="W50" s="7"/>
    </x:row>
    <x:row r="51" ht="23" customHeight="1">
      <x:c r="A51" s="1" t="n">
        <x:v>45</x:v>
      </x:c>
      <x:c r="B51" s="17" t="n">
        <x:f>'Допущения'!C50*'Допущения'!D53</x:f>
        <x:v>1.0677966101694916</x:v>
      </x:c>
      <x:c r="C51" s="9" t="n">
        <x:f>'Допущения'!C31*'Допущения'!$B$8*'Допущения'!D31*$B51*(1+'Допущения'!$B$13)^3</x:f>
        <x:v>3633796.963632204</x:v>
      </x:c>
      <x:c r="D51" s="9" t="n">
        <x:f>'Допущения'!C32*'Допущения'!$B$8*'Допущения'!D32*$B51*(1+'Допущения'!$B$13)^3</x:f>
        <x:v>249174.64893477972</x:v>
      </x:c>
      <x:c r="E51" s="9" t="n">
        <x:f>'Допущения'!C33*'Допущения'!$B$8*'Допущения'!D33*$B51*(1+'Допущения'!$B$13)^3</x:f>
        <x:v>581407.5141811527</x:v>
      </x:c>
      <x:c r="F51" s="9" t="n">
        <x:f>'Допущения'!C34*'Допущения'!$B$8*'Допущения'!D34*$B51*(1+'Допущения'!$B$13)^3</x:f>
        <x:v>775210.0189082035</x:v>
      </x:c>
      <x:c r="G51" s="9" t="n">
        <x:f>'Допущения'!C35*'Допущения'!$B$8*'Допущения'!D35*$B51*(1+'Допущения'!$B$13)^3</x:f>
        <x:v>1297784.629868644</x:v>
      </x:c>
      <x:c r="H51" s="9" t="n">
        <x:f>'Допущения'!C36*'Допущения'!$B$8*'Допущения'!D36*$B51*(1+'Допущения'!$B$13)^3</x:f>
        <x:v>93440.49335054237</x:v>
      </x:c>
      <x:c r="I51" s="9" t="n">
        <x:f>'Допущения'!C37*'Допущения'!$B$8*'Допущения'!D37*$B51*(1+'Допущения'!$B$13)^3</x:f>
        <x:v>86518.97532457627</x:v>
      </x:c>
      <x:c r="J51" s="7" t="n">
        <x:f>SUM(C51:I51)</x:f>
        <x:v>6717333.244200103</x:v>
      </x:c>
      <x:c r="K51" s="9" t="n">
        <x:f>J51/(1+'Допущения'!$B$9)</x:f>
        <x:v>6397460.232571526</x:v>
      </x:c>
      <x:c r="L51" s="9" t="n">
        <x:f>C51/(1+'Допущения'!$B$9)*'Допущения'!E31+'Допущения'!C31*'Допущения'!$B$8*$B51*'Допущения'!F31*(1+'Допущения'!$B$14)^3+D51/(1+'Допущения'!$B$9)*'Допущения'!E32+'Допущения'!C32*'Допущения'!$B$8*$B51*'Допущения'!F32*(1+'Допущения'!$B$14)^3+E51/(1+'Допущения'!$B$9)*'Допущения'!E33+'Допущения'!C33*'Допущения'!$B$8*$B51*'Допущения'!F33*(1+'Допущения'!$B$14)^3+F51/(1+'Допущения'!$B$9)*'Допущения'!E34+'Допущения'!C34*'Допущения'!$B$8*$B51*'Допущения'!F34*(1+'Допущения'!$B$14)^3+G51/(1+'Допущения'!$B$9)*'Допущения'!E35+'Допущения'!C35*'Допущения'!$B$8*$B51*'Допущения'!F35*(1+'Допущения'!$B$14)^3+H51/(1+'Допущения'!$B$9)*'Допущения'!E36+'Допущения'!C36*'Допущения'!$B$8*$B51*'Допущения'!F36*(1+'Допущения'!$B$14)^3+I51/(1+'Допущения'!$B$9)*'Допущения'!E37+'Допущения'!C37*'Допущения'!$B$8*$B51*'Допущения'!F37*(1+'Допущения'!$B$14)^3</x:f>
        <x:v>858605.2556038728</x:v>
      </x:c>
      <x:c r="M51" s="9" t="n">
        <x:f>J51*'Допущения'!$B$11</x:f>
        <x:v>134346.66488400206</x:v>
      </x:c>
      <x:c r="N51" s="9" t="n">
        <x:f>'Инвестиции'!$C$35*(1+'Допущения'!$B$14)^3</x:f>
        <x:v>2061355.4033310004</x:v>
      </x:c>
      <x:c r="O51" s="9" t="n">
        <x:f>K51*'Допущения'!$B$10</x:f>
        <x:v>383847.61395429156</x:v>
      </x:c>
      <x:c r="P51" s="9" t="n">
        <x:f>K51*'Допущения'!$B$12</x:f>
        <x:v>127949.20465143053</x:v>
      </x:c>
      <x:c r="Q51" s="7" t="n">
        <x:f>K51-L51-M51-N51</x:f>
        <x:v>3343152.908752651</x:v>
      </x:c>
      <x:c r="R51" s="7" t="n">
        <x:f>Q51-O51-P51</x:f>
        <x:v>2831356.0901469286</x:v>
      </x:c>
      <x:c r="S51" s="7" t="n">
        <x:f>S50+R51</x:f>
        <x:v>70674731.94980131</x:v>
      </x:c>
      <x:c r="T51" s="7" t="n">
        <x:f>IF(S51&gt;=0,A51,999)</x:f>
        <x:v>45</x:v>
      </x:c>
      <x:c r="U51" s="22" t="n">
        <x:f>'Допущения'!C31*'Допущения'!$B$8*B51*'Допущения'!$B$17/'Допущения'!$B$18/'Допущения'!$B$16</x:f>
        <x:v>33.59029275808938</x:v>
      </x:c>
      <x:c r="V51" s="7"/>
      <x:c r="W51" s="7"/>
    </x:row>
    <x:row r="52" ht="23" customHeight="1">
      <x:c r="A52" s="1" t="n">
        <x:v>46</x:v>
      </x:c>
      <x:c r="B52" s="17" t="n">
        <x:f>'Допущения'!C51*'Допущения'!D53</x:f>
        <x:v>1.1694915254237286</x:v>
      </x:c>
      <x:c r="C52" s="9" t="n">
        <x:f>'Допущения'!C31*'Допущения'!$B$8*'Допущения'!D31*$B52*(1+'Допущения'!$B$13)^3</x:f>
        <x:v>3979872.864930508</x:v>
      </x:c>
      <x:c r="D52" s="9" t="n">
        <x:f>'Допущения'!C32*'Допущения'!$B$8*'Допущения'!D32*$B52*(1+'Допущения'!$B$13)^3</x:f>
        <x:v>272905.5678809491</x:v>
      </x:c>
      <x:c r="E52" s="9" t="n">
        <x:f>'Допущения'!C33*'Допущения'!$B$8*'Допущения'!D33*$B52*(1+'Допущения'!$B$13)^3</x:f>
        <x:v>636779.6583888812</x:v>
      </x:c>
      <x:c r="F52" s="9" t="n">
        <x:f>'Допущения'!C34*'Допущения'!$B$8*'Допущения'!D34*$B52*(1+'Допущения'!$B$13)^3</x:f>
        <x:v>849039.5445185082</x:v>
      </x:c>
      <x:c r="G52" s="9" t="n">
        <x:f>'Допущения'!C35*'Допущения'!$B$8*'Допущения'!D35*$B52*(1+'Допущения'!$B$13)^3</x:f>
        <x:v>1421383.1660466099</x:v>
      </x:c>
      <x:c r="H52" s="9" t="n">
        <x:f>'Допущения'!C36*'Допущения'!$B$8*'Допущения'!D36*$B52*(1+'Допущения'!$B$13)^3</x:f>
        <x:v>102339.58795535592</x:v>
      </x:c>
      <x:c r="I52" s="9" t="n">
        <x:f>'Допущения'!C37*'Допущения'!$B$8*'Допущения'!D37*$B52*(1+'Допущения'!$B$13)^3</x:f>
        <x:v>94758.87773644066</x:v>
      </x:c>
      <x:c r="J52" s="7" t="n">
        <x:f>SUM(C52:I52)</x:f>
        <x:v>7357079.267457253</x:v>
      </x:c>
      <x:c r="K52" s="9" t="n">
        <x:f>J52/(1+'Допущения'!$B$9)</x:f>
        <x:v>7006742.159483098</x:v>
      </x:c>
      <x:c r="L52" s="9" t="n">
        <x:f>C52/(1+'Допущения'!$B$9)*'Допущения'!E31+'Допущения'!C31*'Допущения'!$B$8*$B52*'Допущения'!F31*(1+'Допущения'!$B$14)^3+D52/(1+'Допущения'!$B$9)*'Допущения'!E32+'Допущения'!C32*'Допущения'!$B$8*$B52*'Допущения'!F32*(1+'Допущения'!$B$14)^3+E52/(1+'Допущения'!$B$9)*'Допущения'!E33+'Допущения'!C33*'Допущения'!$B$8*$B52*'Допущения'!F33*(1+'Допущения'!$B$14)^3+F52/(1+'Допущения'!$B$9)*'Допущения'!E34+'Допущения'!C34*'Допущения'!$B$8*$B52*'Допущения'!F34*(1+'Допущения'!$B$14)^3+G52/(1+'Допущения'!$B$9)*'Допущения'!E35+'Допущения'!C35*'Допущения'!$B$8*$B52*'Допущения'!F35*(1+'Допущения'!$B$14)^3+H52/(1+'Допущения'!$B$9)*'Допущения'!E36+'Допущения'!C36*'Допущения'!$B$8*$B52*'Допущения'!F36*(1+'Допущения'!$B$14)^3+I52/(1+'Допущения'!$B$9)*'Допущения'!E37+'Допущения'!C37*'Допущения'!$B$8*$B52*'Допущения'!F37*(1+'Допущения'!$B$14)^3</x:f>
        <x:v>940377.1847090034</x:v>
      </x:c>
      <x:c r="M52" s="9" t="n">
        <x:f>J52*'Допущения'!$B$11</x:f>
        <x:v>147141.58534914508</x:v>
      </x:c>
      <x:c r="N52" s="9" t="n">
        <x:f>'Инвестиции'!$C$35*(1+'Допущения'!$B$14)^3</x:f>
        <x:v>2061355.4033310004</x:v>
      </x:c>
      <x:c r="O52" s="9" t="n">
        <x:f>K52*'Допущения'!$B$10</x:f>
        <x:v>420404.52956898586</x:v>
      </x:c>
      <x:c r="P52" s="9" t="n">
        <x:f>K52*'Допущения'!$B$12</x:f>
        <x:v>140134.84318966197</x:v>
      </x:c>
      <x:c r="Q52" s="7" t="n">
        <x:f>K52-L52-M52-N52</x:f>
        <x:v>3857867.9860939495</x:v>
      </x:c>
      <x:c r="R52" s="7" t="n">
        <x:f>Q52-O52-P52</x:f>
        <x:v>3297328.6133353016</x:v>
      </x:c>
      <x:c r="S52" s="7" t="n">
        <x:f>S51+R52</x:f>
        <x:v>73972060.5631366</x:v>
      </x:c>
      <x:c r="T52" s="7" t="n">
        <x:f>IF(S52&gt;=0,A52,999)</x:f>
        <x:v>46</x:v>
      </x:c>
      <x:c r="U52" s="22" t="n">
        <x:f>'Допущения'!C31*'Допущения'!$B$8*B52*'Допущения'!$B$17/'Допущения'!$B$18/'Допущения'!$B$16</x:f>
        <x:v>36.78936825885979</x:v>
      </x:c>
      <x:c r="V52" s="7"/>
      <x:c r="W52" s="7"/>
    </x:row>
    <x:row r="53" ht="23" customHeight="1">
      <x:c r="A53" s="1" t="n">
        <x:v>47</x:v>
      </x:c>
      <x:c r="B53" s="17" t="n">
        <x:f>'Допущения'!C52*'Допущения'!D53</x:f>
        <x:v>1.2203389830508473</x:v>
      </x:c>
      <x:c r="C53" s="9" t="n">
        <x:f>'Допущения'!C31*'Допущения'!$B$8*'Допущения'!D31*$B53*(1+'Допущения'!$B$13)^3</x:f>
        <x:v>4152910.8155796607</x:v>
      </x:c>
      <x:c r="D53" s="9" t="n">
        <x:f>'Допущения'!C32*'Допущения'!$B$8*'Допущения'!D32*$B53*(1+'Допущения'!$B$13)^3</x:f>
        <x:v>284771.0273540339</x:v>
      </x:c>
      <x:c r="E53" s="9" t="n">
        <x:f>'Допущения'!C33*'Допущения'!$B$8*'Допущения'!D33*$B53*(1+'Допущения'!$B$13)^3</x:f>
        <x:v>664465.7304927458</x:v>
      </x:c>
      <x:c r="F53" s="9" t="n">
        <x:f>'Допущения'!C34*'Допущения'!$B$8*'Допущения'!D34*$B53*(1+'Допущения'!$B$13)^3</x:f>
        <x:v>885954.3073236609</x:v>
      </x:c>
      <x:c r="G53" s="9" t="n">
        <x:f>'Допущения'!C35*'Допущения'!$B$8*'Допущения'!D35*$B53*(1+'Допущения'!$B$13)^3</x:f>
        <x:v>1483182.434135593</x:v>
      </x:c>
      <x:c r="H53" s="9" t="n">
        <x:f>'Допущения'!C36*'Допущения'!$B$8*'Допущения'!D36*$B53*(1+'Допущения'!$B$13)^3</x:f>
        <x:v>106789.1352577627</x:v>
      </x:c>
      <x:c r="I53" s="9" t="n">
        <x:f>'Допущения'!C37*'Допущения'!$B$8*'Допущения'!D37*$B53*(1+'Допущения'!$B$13)^3</x:f>
        <x:v>98878.82894237287</x:v>
      </x:c>
      <x:c r="J53" s="7" t="n">
        <x:f>SUM(C53:I53)</x:f>
        <x:v>7676952.27908583</x:v>
      </x:c>
      <x:c r="K53" s="9" t="n">
        <x:f>J53/(1+'Допущения'!$B$9)</x:f>
        <x:v>7311383.122938885</x:v>
      </x:c>
      <x:c r="L53" s="9" t="n">
        <x:f>C53/(1+'Допущения'!$B$9)*'Допущения'!E31+'Допущения'!C31*'Допущения'!$B$8*$B53*'Допущения'!F31*(1+'Допущения'!$B$14)^3+D53/(1+'Допущения'!$B$9)*'Допущения'!E32+'Допущения'!C32*'Допущения'!$B$8*$B53*'Допущения'!F32*(1+'Допущения'!$B$14)^3+E53/(1+'Допущения'!$B$9)*'Допущения'!E33+'Допущения'!C33*'Допущения'!$B$8*$B53*'Допущения'!F33*(1+'Допущения'!$B$14)^3+F53/(1+'Допущения'!$B$9)*'Допущения'!E34+'Допущения'!C34*'Допущения'!$B$8*$B53*'Допущения'!F34*(1+'Допущения'!$B$14)^3+G53/(1+'Допущения'!$B$9)*'Допущения'!E35+'Допущения'!C35*'Допущения'!$B$8*$B53*'Допущения'!F35*(1+'Допущения'!$B$14)^3+H53/(1+'Допущения'!$B$9)*'Допущения'!E36+'Допущения'!C36*'Допущения'!$B$8*$B53*'Допущения'!F36*(1+'Допущения'!$B$14)^3+I53/(1+'Допущения'!$B$9)*'Допущения'!E37+'Допущения'!C37*'Допущения'!$B$8*$B53*'Допущения'!F37*(1+'Допущения'!$B$14)^3</x:f>
        <x:v>981263.1492615689</x:v>
      </x:c>
      <x:c r="M53" s="9" t="n">
        <x:f>J53*'Допущения'!$B$11</x:f>
        <x:v>153539.0455817166</x:v>
      </x:c>
      <x:c r="N53" s="9" t="n">
        <x:f>'Инвестиции'!$C$35*(1+'Допущения'!$B$14)^3</x:f>
        <x:v>2061355.4033310004</x:v>
      </x:c>
      <x:c r="O53" s="9" t="n">
        <x:f>K53*'Допущения'!$B$10</x:f>
        <x:v>438682.9873763331</x:v>
      </x:c>
      <x:c r="P53" s="9" t="n">
        <x:f>K53*'Допущения'!$B$12</x:f>
        <x:v>146227.66245877772</x:v>
      </x:c>
      <x:c r="Q53" s="7" t="n">
        <x:f>K53-L53-M53-N53</x:f>
        <x:v>4115225.5247645993</x:v>
      </x:c>
      <x:c r="R53" s="7" t="n">
        <x:f>Q53-O53-P53</x:f>
        <x:v>3530314.874929488</x:v>
      </x:c>
      <x:c r="S53" s="7" t="n">
        <x:f>S52+R53</x:f>
        <x:v>77502375.4380661</x:v>
      </x:c>
      <x:c r="T53" s="7" t="n">
        <x:f>IF(S53&gt;=0,A53,999)</x:f>
        <x:v>47</x:v>
      </x:c>
      <x:c r="U53" s="22" t="n">
        <x:f>'Допущения'!C31*'Допущения'!$B$8*B53*'Допущения'!$B$17/'Допущения'!$B$18/'Допущения'!$B$16</x:f>
        <x:v>38.388906009245</x:v>
      </x:c>
      <x:c r="V53" s="7"/>
      <x:c r="W53" s="7"/>
    </x:row>
    <x:row r="54" ht="23" customHeight="1">
      <x:c r="A54" s="1" t="n">
        <x:v>48</x:v>
      </x:c>
      <x:c r="B54" s="17" t="n">
        <x:f>'Допущения'!C53*'Допущения'!D53</x:f>
        <x:v>1.271186440677966</x:v>
      </x:c>
      <x:c r="C54" s="9" t="n">
        <x:f>'Допущения'!C31*'Допущения'!$B$8*'Допущения'!D31*$B54*(1+'Допущения'!$B$13)^3</x:f>
        <x:v>4325948.766228814</x:v>
      </x:c>
      <x:c r="D54" s="9" t="n">
        <x:f>'Допущения'!C32*'Допущения'!$B$8*'Допущения'!D32*$B54*(1+'Допущения'!$B$13)^3</x:f>
        <x:v>296636.4868271187</x:v>
      </x:c>
      <x:c r="E54" s="9" t="n">
        <x:f>'Допущения'!C33*'Допущения'!$B$8*'Допущения'!D33*$B54*(1+'Допущения'!$B$13)^3</x:f>
        <x:v>692151.8025966102</x:v>
      </x:c>
      <x:c r="F54" s="9" t="n">
        <x:f>'Допущения'!C34*'Допущения'!$B$8*'Допущения'!D34*$B54*(1+'Допущения'!$B$13)^3</x:f>
        <x:v>922869.0701288135</x:v>
      </x:c>
      <x:c r="G54" s="9" t="n">
        <x:f>'Допущения'!C35*'Допущения'!$B$8*'Допущения'!D35*$B54*(1+'Допущения'!$B$13)^3</x:f>
        <x:v>1544981.7022245764</x:v>
      </x:c>
      <x:c r="H54" s="9" t="n">
        <x:f>'Допущения'!C36*'Допущения'!$B$8*'Допущения'!D36*$B54*(1+'Допущения'!$B$13)^3</x:f>
        <x:v>111238.68256016949</x:v>
      </x:c>
      <x:c r="I54" s="9" t="n">
        <x:f>'Допущения'!C37*'Допущения'!$B$8*'Допущения'!D37*$B54*(1+'Допущения'!$B$13)^3</x:f>
        <x:v>102998.78014830509</x:v>
      </x:c>
      <x:c r="J54" s="7" t="n">
        <x:f>SUM(C54:I54)</x:f>
        <x:v>7996825.290714406</x:v>
      </x:c>
      <x:c r="K54" s="9" t="n">
        <x:f>J54/(1+'Допущения'!$B$9)</x:f>
        <x:v>7616024.086394672</x:v>
      </x:c>
      <x:c r="L54" s="9" t="n">
        <x:f>C54/(1+'Допущения'!$B$9)*'Допущения'!E31+'Допущения'!C31*'Допущения'!$B$8*$B54*'Допущения'!F31*(1+'Допущения'!$B$14)^3+D54/(1+'Допущения'!$B$9)*'Допущения'!E32+'Допущения'!C32*'Допущения'!$B$8*$B54*'Допущения'!F32*(1+'Допущения'!$B$14)^3+E54/(1+'Допущения'!$B$9)*'Допущения'!E33+'Допущения'!C33*'Допущения'!$B$8*$B54*'Допущения'!F33*(1+'Допущения'!$B$14)^3+F54/(1+'Допущения'!$B$9)*'Допущения'!E34+'Допущения'!C34*'Допущения'!$B$8*$B54*'Допущения'!F34*(1+'Допущения'!$B$14)^3+G54/(1+'Допущения'!$B$9)*'Допущения'!E35+'Допущения'!C35*'Допущения'!$B$8*$B54*'Допущения'!F35*(1+'Допущения'!$B$14)^3+H54/(1+'Допущения'!$B$9)*'Допущения'!E36+'Допущения'!C36*'Допущения'!$B$8*$B54*'Допущения'!F36*(1+'Допущения'!$B$14)^3+I54/(1+'Допущения'!$B$9)*'Допущения'!E37+'Допущения'!C37*'Допущения'!$B$8*$B54*'Допущения'!F37*(1+'Допущения'!$B$14)^3</x:f>
        <x:v>1022149.1138141345</x:v>
      </x:c>
      <x:c r="M54" s="9" t="n">
        <x:f>J54*'Допущения'!$B$11</x:f>
        <x:v>159936.50581428813</x:v>
      </x:c>
      <x:c r="N54" s="9" t="n">
        <x:f>'Инвестиции'!$C$35*(1+'Допущения'!$B$14)^3</x:f>
        <x:v>2061355.4033310004</x:v>
      </x:c>
      <x:c r="O54" s="9" t="n">
        <x:f>K54*'Допущения'!$B$10</x:f>
        <x:v>456961.44518368033</x:v>
      </x:c>
      <x:c r="P54" s="9" t="n">
        <x:f>K54*'Допущения'!$B$12</x:f>
        <x:v>152320.48172789344</x:v>
      </x:c>
      <x:c r="Q54" s="7" t="n">
        <x:f>K54-L54-M54-N54</x:f>
        <x:v>4372583.06343525</x:v>
      </x:c>
      <x:c r="R54" s="7" t="n">
        <x:f>Q54-O54-P54</x:f>
        <x:v>3763301.136523676</x:v>
      </x:c>
      <x:c r="S54" s="7" t="n">
        <x:f>S53+R54</x:f>
        <x:v>81265676.57458977</x:v>
      </x:c>
      <x:c r="T54" s="7" t="n">
        <x:f>IF(S54&gt;=0,A54,999)</x:f>
        <x:v>48</x:v>
      </x:c>
      <x:c r="U54" s="22" t="n">
        <x:f>'Допущения'!C31*'Допущения'!$B$8*B54*'Допущения'!$B$17/'Допущения'!$B$18/'Допущения'!$B$16</x:f>
        <x:v>39.9884437596302</x:v>
      </x:c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48" hidden="0" customWidth="1"/>
    <x:col min="3" max="3" width="18" hidden="0" customWidth="1"/>
    <x:col min="4" max="4" width="18" hidden="0" customWidth="1"/>
    <x:col min="5" max="5" width="18" hidden="0" customWidth="1"/>
    <x:col min="6" max="6" width="50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RR-FEC-500 | События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Неделя</x:v>
      </x:c>
      <x:c r="B6" s="25" t="str">
        <x:v>Формат</x:v>
      </x:c>
      <x:c r="C6" s="24" t="str">
        <x:v>Частота</x:v>
      </x:c>
      <x:c r="D6" s="24" t="str">
        <x:v>Расход на событие, ₽</x:v>
      </x:c>
      <x:c r="E6" s="24" t="str">
        <x:v>Промо, ₽</x:v>
      </x:c>
      <x:c r="F6" s="24" t="str">
        <x:v>Учет</x:v>
      </x:c>
      <x:c r="G6" s="24"/>
      <x:c r="H6" s="24"/>
      <x:c r="I6" s="24"/>
      <x:c r="J6" s="24"/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58" customHeight="1">
      <x:c r="A7" s="30" t="str">
        <x:v>1</x:v>
      </x:c>
      <x:c r="B7" s="28" t="str">
        <x:v>Семейный квест + навык</x:v>
      </x:c>
      <x:c r="C7" s="28" t="str">
        <x:v>Сб 12:00 / Вс 16:00</x:v>
      </x:c>
      <x:c r="D7" s="28" t="n">
        <x:v>4025</x:v>
      </x:c>
      <x:c r="E7" s="28" t="n">
        <x:v>4000</x:v>
      </x:c>
      <x:c r="F7" s="28" t="str">
        <x:v>Включено во вход, не отдельная выручка</x:v>
      </x:c>
      <x:c r="G7" s="7"/>
      <x:c r="H7" s="7"/>
      <x:c r="I7" s="7"/>
      <x:c r="J7" s="7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58" customHeight="1">
      <x:c r="A8" s="30" t="str">
        <x:v>2</x:v>
      </x:c>
      <x:c r="B8" s="28" t="str">
        <x:v>Творческая мастерская</x:v>
      </x:c>
      <x:c r="C8" s="28" t="str">
        <x:v>Ср 17:00 / Сб 14:00</x:v>
      </x:c>
      <x:c r="D8" s="28" t="n">
        <x:v>2683</x:v>
      </x:c>
      <x:c r="E8" s="28" t="n">
        <x:v>3000</x:v>
      </x:c>
      <x:c r="F8" s="28" t="str">
        <x:v>Материалы в прямых расходах мастер-классов</x:v>
      </x:c>
      <x:c r="G8" s="7"/>
      <x:c r="H8" s="7"/>
      <x:c r="I8" s="7"/>
      <x:c r="J8" s="7"/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58" customHeight="1">
      <x:c r="A9" s="30" t="str">
        <x:v>3</x:v>
      </x:c>
      <x:c r="B9" s="28" t="str">
        <x:v>Световая семейная дискотека</x:v>
      </x:c>
      <x:c r="C9" s="28" t="str">
        <x:v>Пт 18:00</x:v>
      </x:c>
      <x:c r="D9" s="28" t="n">
        <x:v>4472</x:v>
      </x:c>
      <x:c r="E9" s="28" t="n">
        <x:v>4000</x:v>
      </x:c>
      <x:c r="F9" s="28" t="str">
        <x:v>Включено во вход</x:v>
      </x:c>
      <x:c r="G9" s="7"/>
      <x:c r="H9" s="7"/>
      <x:c r="I9" s="7"/>
      <x:c r="J9" s="7"/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58" customHeight="1">
      <x:c r="A10" s="30" t="str">
        <x:v>4</x:v>
      </x:c>
      <x:c r="B10" s="28" t="str">
        <x:v>Командный турнир / день рождения клуба</x:v>
      </x:c>
      <x:c r="C10" s="28" t="str">
        <x:v>Вс 15:00</x:v>
      </x:c>
      <x:c r="D10" s="28" t="n">
        <x:v>6708</x:v>
      </x:c>
      <x:c r="E10" s="28" t="n">
        <x:v>5000</x:v>
      </x:c>
      <x:c r="F10" s="28" t="str">
        <x:v>Неделя теста, призы без денежных выплат</x:v>
      </x:c>
      <x:c r="G10" s="7"/>
      <x:c r="H10" s="7"/>
      <x:c r="I10" s="7"/>
      <x:c r="J10" s="7"/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23" customHeight="1">
      <x:c r="A11" s="1"/>
      <x:c r="B11" s="7"/>
      <x:c r="C11" s="7"/>
      <x:c r="D11" s="7"/>
      <x:c r="E11" s="7"/>
      <x:c r="F11" s="7"/>
      <x:c r="G11" s="7"/>
      <x:c r="H11" s="7"/>
      <x:c r="I11" s="7"/>
      <x:c r="J11" s="7"/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23" customHeight="1">
      <x:c r="A12" s="1"/>
      <x:c r="B12" s="7"/>
      <x:c r="C12" s="7"/>
      <x:c r="D12" s="7"/>
      <x:c r="E12" s="7"/>
      <x:c r="F12" s="7"/>
      <x:c r="G12" s="7"/>
      <x:c r="H12" s="7"/>
      <x:c r="I12" s="7"/>
      <x:c r="J12" s="7"/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23" customHeight="1">
      <x:c r="A13" s="1"/>
      <x:c r="B13" s="7"/>
      <x:c r="C13" s="7"/>
      <x:c r="D13" s="7"/>
      <x:c r="E13" s="7"/>
      <x:c r="F13" s="7"/>
      <x:c r="G13" s="7"/>
      <x:c r="H13" s="7"/>
      <x:c r="I13" s="7"/>
      <x:c r="J13" s="7"/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23" customHeight="1">
      <x:c r="A14" s="1" t="str">
        <x:v>Правило бюджета</x:v>
      </x:c>
      <x:c r="B14" s="7"/>
      <x:c r="C14" s="7"/>
      <x:c r="D14" s="7"/>
      <x:c r="E14" s="7"/>
      <x:c r="F14" s="7"/>
      <x:c r="G14" s="7"/>
      <x:c r="H14" s="7"/>
      <x:c r="I14" s="7"/>
      <x:c r="J14" s="7"/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 t="str">
        <x:v>Промо событий входит в текущую рекламу, а не прибавляется к ней повторно.</x:v>
      </x:c>
      <x:c r="B15" s="7"/>
      <x:c r="C15" s="7"/>
      <x:c r="D15" s="7"/>
      <x:c r="E15" s="7"/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 t="str">
        <x:v>Штатный ведущий входит в ФОТ; материалы и приглашенные артисты — в прямые затраты.</x:v>
      </x:c>
      <x:c r="B16" s="7"/>
      <x:c r="C16" s="7"/>
      <x:c r="D16" s="7"/>
      <x:c r="E16" s="7"/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 t="str">
        <x:v>100 м²: только два публичных блока в неделю; частный праздник занимает общую сцену.</x:v>
      </x:c>
      <x:c r="B17" s="7"/>
      <x:c r="C17" s="7"/>
      <x:c r="D17" s="7"/>
      <x:c r="E17" s="7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 t="str">
        <x:v>После четырех недель оставлять форматы с повторными визитами и положительным вкладом.</x:v>
      </x:c>
      <x:c r="B18" s="7"/>
      <x:c r="C18" s="7"/>
      <x:c r="D18" s="7"/>
      <x:c r="E18" s="7"/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/>
      <x:c r="B19" s="7"/>
      <x:c r="C19" s="7"/>
      <x:c r="D19" s="7"/>
      <x:c r="E19" s="7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/>
      <x:c r="B20" s="7"/>
      <x:c r="C20" s="7"/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/>
      <x:c r="B21" s="7"/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/>
      <x:c r="B22" s="7"/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/>
      <x:c r="B24" s="7"/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/>
      <x:c r="B25" s="1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/>
      <x:c r="B26" s="1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/>
      <x:c r="B27" s="1"/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/>
      <x:c r="B28" s="1"/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/>
      <x:c r="B29" s="1"/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/>
      <x:c r="B30" s="1"/>
      <x:c r="C30" s="7"/>
      <x:c r="D30" s="7"/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/>
      <x:c r="B31" s="1"/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/>
      <x:c r="B32" s="1"/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/>
      <x:c r="B35" s="1"/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/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/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/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/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/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